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L:\Resources\QITemplates Project\2024\testdata\"/>
    </mc:Choice>
  </mc:AlternateContent>
  <xr:revisionPtr revIDLastSave="0" documentId="13_ncr:1_{70BC1F83-BC3C-408A-B226-77041FC60688}" xr6:coauthVersionLast="47" xr6:coauthVersionMax="47" xr10:uidLastSave="{00000000-0000-0000-0000-000000000000}"/>
  <bookViews>
    <workbookView xWindow="-120" yWindow="-120" windowWidth="29040" windowHeight="15840" tabRatio="850" xr2:uid="{00000000-000D-0000-FFFF-FFFF00000000}"/>
  </bookViews>
  <sheets>
    <sheet name="XmR Data" sheetId="4" r:id="rId1"/>
    <sheet name="Pareto Data" sheetId="7" r:id="rId2"/>
    <sheet name="Medication Errors" sheetId="15" r:id="rId3"/>
    <sheet name="Surgical Pareto" sheetId="11" r:id="rId4"/>
    <sheet name="General Pareto" sheetId="12" r:id="rId5"/>
    <sheet name="Obstetrics Pareto" sheetId="13" r:id="rId6"/>
    <sheet name="Falls 2008-2019" sheetId="17" r:id="rId7"/>
    <sheet name="ANOM" sheetId="16" r:id="rId8"/>
    <sheet name="c Data" sheetId="1" r:id="rId9"/>
    <sheet name="p Data" sheetId="2" r:id="rId10"/>
    <sheet name="u Data" sheetId="3" r:id="rId11"/>
    <sheet name="g Data" sheetId="8" r:id="rId12"/>
    <sheet name="t Data" sheetId="18" r:id="rId13"/>
    <sheet name="Histogram" sheetId="9" r:id="rId14"/>
    <sheet name="Lab Requisitions (hour)" sheetId="10" r:id="rId15"/>
    <sheet name="Oryx Data" sheetId="14" r:id="rId16"/>
    <sheet name="XbarS Data" sheetId="6" r:id="rId17"/>
    <sheet name="XbarR Data" sheetId="5" r:id="rId18"/>
  </sheets>
  <definedNames>
    <definedName name="_000_Total_Deaths_by_Month">'p Data'!$A$1:$C$1</definedName>
    <definedName name="DataRange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" i="4" l="1"/>
  <c r="AF3" i="4"/>
  <c r="AF4" i="4"/>
  <c r="AF5" i="4"/>
  <c r="AF6" i="4"/>
  <c r="A72" i="8" l="1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D12" i="8"/>
  <c r="D33" i="5" l="1"/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2" i="4"/>
  <c r="N26" i="4" l="1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L3" i="8" l="1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" i="15"/>
  <c r="J3" i="15"/>
  <c r="L3" i="15"/>
  <c r="L4" i="15"/>
  <c r="L5" i="15"/>
  <c r="G6" i="15"/>
  <c r="L6" i="15"/>
  <c r="L7" i="15"/>
  <c r="P15" i="15"/>
  <c r="L16" i="15"/>
  <c r="L17" i="15"/>
  <c r="L18" i="15"/>
  <c r="L19" i="15"/>
  <c r="L20" i="15"/>
  <c r="L21" i="15"/>
  <c r="AN2" i="2"/>
  <c r="AS2" i="2"/>
  <c r="AN3" i="2"/>
  <c r="AS3" i="2"/>
  <c r="AN4" i="2"/>
  <c r="AS4" i="2"/>
  <c r="AN5" i="2"/>
  <c r="AS5" i="2"/>
  <c r="AN6" i="2"/>
  <c r="AS6" i="2"/>
  <c r="AN7" i="2"/>
  <c r="AS7" i="2"/>
  <c r="AN8" i="2"/>
  <c r="AS8" i="2"/>
  <c r="AN9" i="2"/>
  <c r="AS9" i="2"/>
  <c r="AN10" i="2"/>
  <c r="AS10" i="2"/>
  <c r="AN11" i="2"/>
  <c r="AS11" i="2"/>
  <c r="AN12" i="2"/>
  <c r="AS12" i="2"/>
  <c r="AN13" i="2"/>
  <c r="AS13" i="2"/>
  <c r="AN14" i="2"/>
  <c r="AS14" i="2"/>
  <c r="AN15" i="2"/>
  <c r="AS15" i="2"/>
  <c r="AN16" i="2"/>
  <c r="AS16" i="2"/>
  <c r="AN17" i="2"/>
  <c r="AS17" i="2"/>
  <c r="AN18" i="2"/>
  <c r="AS18" i="2"/>
  <c r="AN19" i="2"/>
  <c r="AS19" i="2"/>
  <c r="AN20" i="2"/>
  <c r="AS20" i="2"/>
  <c r="AN21" i="2"/>
  <c r="AS21" i="2"/>
  <c r="AN22" i="2"/>
  <c r="AS22" i="2"/>
  <c r="AN23" i="2"/>
  <c r="AS23" i="2"/>
  <c r="AN24" i="2"/>
  <c r="AS24" i="2"/>
  <c r="AN25" i="2"/>
  <c r="AS25" i="2"/>
  <c r="AN26" i="2"/>
  <c r="AS26" i="2"/>
  <c r="AN27" i="2"/>
  <c r="AS27" i="2"/>
  <c r="AN28" i="2"/>
  <c r="AS28" i="2"/>
  <c r="AN29" i="2"/>
  <c r="AS29" i="2"/>
  <c r="AN30" i="2"/>
  <c r="AS30" i="2"/>
  <c r="AN31" i="2"/>
  <c r="AS31" i="2"/>
  <c r="Q17" i="7"/>
  <c r="R17" i="7"/>
  <c r="S17" i="7"/>
  <c r="T17" i="7"/>
  <c r="U17" i="7"/>
  <c r="F19" i="7"/>
  <c r="M27" i="7"/>
  <c r="M28" i="7"/>
  <c r="M29" i="7"/>
  <c r="M30" i="7"/>
  <c r="M31" i="7"/>
  <c r="M32" i="7"/>
  <c r="M33" i="7"/>
  <c r="M34" i="7"/>
  <c r="M35" i="7"/>
  <c r="M36" i="7"/>
  <c r="M37" i="7"/>
  <c r="M38" i="7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H5" i="5"/>
  <c r="I5" i="5"/>
  <c r="H6" i="5"/>
  <c r="I6" i="5"/>
  <c r="H7" i="5"/>
  <c r="I7" i="5"/>
  <c r="B33" i="5"/>
  <c r="B34" i="5" s="1"/>
  <c r="C33" i="5"/>
  <c r="C34" i="5" s="1"/>
  <c r="E33" i="5"/>
  <c r="E34" i="5" s="1"/>
  <c r="D34" i="5"/>
  <c r="E2" i="4"/>
  <c r="AG2" i="4"/>
  <c r="E3" i="4"/>
  <c r="AG3" i="4"/>
  <c r="AU3" i="4"/>
  <c r="AU4" i="4" s="1"/>
  <c r="AU5" i="4" s="1"/>
  <c r="AU6" i="4" s="1"/>
  <c r="AU7" i="4" s="1"/>
  <c r="AU8" i="4" s="1"/>
  <c r="AU9" i="4" s="1"/>
  <c r="AU10" i="4" s="1"/>
  <c r="AU11" i="4" s="1"/>
  <c r="AU12" i="4" s="1"/>
  <c r="AU13" i="4" s="1"/>
  <c r="AU14" i="4" s="1"/>
  <c r="AU15" i="4" s="1"/>
  <c r="AU16" i="4" s="1"/>
  <c r="AU17" i="4" s="1"/>
  <c r="AU18" i="4" s="1"/>
  <c r="AU19" i="4" s="1"/>
  <c r="AU20" i="4" s="1"/>
  <c r="AU21" i="4" s="1"/>
  <c r="AU22" i="4" s="1"/>
  <c r="AU23" i="4" s="1"/>
  <c r="AU24" i="4" s="1"/>
  <c r="AU25" i="4" s="1"/>
  <c r="AU26" i="4" s="1"/>
  <c r="AU27" i="4" s="1"/>
  <c r="AU28" i="4" s="1"/>
  <c r="AU29" i="4" s="1"/>
  <c r="AU30" i="4" s="1"/>
  <c r="AU31" i="4" s="1"/>
  <c r="AU32" i="4" s="1"/>
  <c r="AU33" i="4" s="1"/>
  <c r="AU34" i="4" s="1"/>
  <c r="AU35" i="4" s="1"/>
  <c r="AU36" i="4" s="1"/>
  <c r="AU37" i="4" s="1"/>
  <c r="AU38" i="4" s="1"/>
  <c r="AU39" i="4" s="1"/>
  <c r="AU40" i="4" s="1"/>
  <c r="AU41" i="4" s="1"/>
  <c r="AU42" i="4" s="1"/>
  <c r="AU43" i="4" s="1"/>
  <c r="AU44" i="4" s="1"/>
  <c r="AU45" i="4" s="1"/>
  <c r="AU46" i="4" s="1"/>
  <c r="AU47" i="4" s="1"/>
  <c r="AU48" i="4" s="1"/>
  <c r="AU49" i="4" s="1"/>
  <c r="AU50" i="4" s="1"/>
  <c r="AU51" i="4" s="1"/>
  <c r="AU52" i="4" s="1"/>
  <c r="AU53" i="4" s="1"/>
  <c r="AU54" i="4" s="1"/>
  <c r="AU55" i="4" s="1"/>
  <c r="AU56" i="4" s="1"/>
  <c r="E4" i="4"/>
  <c r="AG4" i="4"/>
  <c r="E5" i="4"/>
  <c r="AG5" i="4"/>
  <c r="E6" i="4"/>
  <c r="AG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L22" i="15" l="1"/>
  <c r="H9" i="5"/>
  <c r="L8" i="15"/>
  <c r="I9" i="5"/>
</calcChain>
</file>

<file path=xl/sharedStrings.xml><?xml version="1.0" encoding="utf-8"?>
<sst xmlns="http://schemas.openxmlformats.org/spreadsheetml/2006/main" count="1907" uniqueCount="1232">
  <si>
    <t>Needle Sticks</t>
  </si>
  <si>
    <t>Patient</t>
  </si>
  <si>
    <t xml:space="preserve">Transfers </t>
  </si>
  <si>
    <t>Total</t>
  </si>
  <si>
    <t>Month</t>
  </si>
  <si>
    <t>C-Sections</t>
  </si>
  <si>
    <t>Total Deliveries</t>
  </si>
  <si>
    <t>Total Pts that develop Bed Sores</t>
  </si>
  <si>
    <t>Number of Discharge Patients During Period</t>
  </si>
  <si>
    <t>Positive (Yes) answers purpose of Medications</t>
  </si>
  <si>
    <t>Total Responses</t>
  </si>
  <si>
    <t>Number of Pts successfully weaned from Mechanical Ventilation</t>
  </si>
  <si>
    <t>Total number of Vent patients</t>
  </si>
  <si>
    <t>Feb</t>
  </si>
  <si>
    <t>Jan</t>
  </si>
  <si>
    <t>Jul</t>
  </si>
  <si>
    <t>Mar</t>
  </si>
  <si>
    <t>Aug</t>
  </si>
  <si>
    <t>Apr</t>
  </si>
  <si>
    <t>Sep</t>
  </si>
  <si>
    <t>May</t>
  </si>
  <si>
    <t>Oct</t>
  </si>
  <si>
    <t>Jun</t>
  </si>
  <si>
    <t>Nov</t>
  </si>
  <si>
    <t>July</t>
  </si>
  <si>
    <t>Dec</t>
  </si>
  <si>
    <t xml:space="preserve">nd </t>
  </si>
  <si>
    <t>Total Patient Falls</t>
  </si>
  <si>
    <t>Total Patient Days</t>
  </si>
  <si>
    <t>Falls/1000 Patient Days</t>
  </si>
  <si>
    <t>Days</t>
  </si>
  <si>
    <t>7-3</t>
  </si>
  <si>
    <t>3-7</t>
  </si>
  <si>
    <t>7-11</t>
  </si>
  <si>
    <t>11-7</t>
  </si>
  <si>
    <t>Staffing Variance by Shift</t>
  </si>
  <si>
    <t xml:space="preserve"> </t>
  </si>
  <si>
    <t>Over</t>
  </si>
  <si>
    <t>Under</t>
  </si>
  <si>
    <t>3-11</t>
  </si>
  <si>
    <t>Understaffed</t>
  </si>
  <si>
    <t>Patients Discharged Per Day</t>
  </si>
  <si>
    <t>pt6</t>
  </si>
  <si>
    <t>pt7</t>
  </si>
  <si>
    <t>pt8</t>
  </si>
  <si>
    <t>pt9</t>
  </si>
  <si>
    <t>pt10</t>
  </si>
  <si>
    <t>pt11</t>
  </si>
  <si>
    <t>pt12</t>
  </si>
  <si>
    <t>pt13</t>
  </si>
  <si>
    <t>pt14</t>
  </si>
  <si>
    <t>pt15</t>
  </si>
  <si>
    <t>pt16</t>
  </si>
  <si>
    <t>pt17</t>
  </si>
  <si>
    <t>pt18</t>
  </si>
  <si>
    <t>pt19</t>
  </si>
  <si>
    <t>pt2</t>
  </si>
  <si>
    <t>pt3</t>
  </si>
  <si>
    <t>pt4</t>
  </si>
  <si>
    <t>pt5</t>
  </si>
  <si>
    <t>Med Errors</t>
  </si>
  <si>
    <t># Doses</t>
  </si>
  <si>
    <t>Patient Satisfaction %</t>
  </si>
  <si>
    <t>J</t>
  </si>
  <si>
    <t>F</t>
  </si>
  <si>
    <t>M</t>
  </si>
  <si>
    <t>A</t>
  </si>
  <si>
    <t>S</t>
  </si>
  <si>
    <t>O</t>
  </si>
  <si>
    <t>N</t>
  </si>
  <si>
    <t>D</t>
  </si>
  <si>
    <t>Medication Errors
Baseline</t>
  </si>
  <si>
    <t>Medication Errors
6 months</t>
  </si>
  <si>
    <t>Medication Errors
18 months</t>
  </si>
  <si>
    <t>Journal of Quality and Patient Safety</t>
  </si>
  <si>
    <t>Wrong Technique</t>
  </si>
  <si>
    <t>December 2009 Volume 35 Number 12</t>
  </si>
  <si>
    <t>Wrong Time</t>
  </si>
  <si>
    <t>Wrong Dose</t>
  </si>
  <si>
    <t>Wrong Route</t>
  </si>
  <si>
    <t>Drug not available</t>
  </si>
  <si>
    <t>Wrong Form</t>
  </si>
  <si>
    <t>Extra Dose</t>
  </si>
  <si>
    <t>Unauthoried Drug</t>
  </si>
  <si>
    <t>Omission</t>
  </si>
  <si>
    <t>Central Line BSI Rate - Average</t>
  </si>
  <si>
    <t>Central Line BSI Rate - Median</t>
  </si>
  <si>
    <t>Baseline</t>
  </si>
  <si>
    <t>Implementation</t>
  </si>
  <si>
    <t>0-3 Mo</t>
  </si>
  <si>
    <t>4-6 mo</t>
  </si>
  <si>
    <t>7-9 mo</t>
  </si>
  <si>
    <t>10-12 mo</t>
  </si>
  <si>
    <t>13.15 mo</t>
  </si>
  <si>
    <t>16-18 mo</t>
  </si>
  <si>
    <t>Infections/1000 Central Line Days for 103 ICUs</t>
  </si>
  <si>
    <t>Period</t>
  </si>
  <si>
    <t>Hand Hygiene Met Criteria</t>
  </si>
  <si>
    <t>Hand Hygiene Opportunities</t>
  </si>
  <si>
    <t>Rare Event Date</t>
  </si>
  <si>
    <t>Days between RFOs</t>
  </si>
  <si>
    <t>Radiology Report Turnaround Times (hrs)</t>
  </si>
  <si>
    <t>USL = 24 hrs</t>
  </si>
  <si>
    <t>Lab Requisitions Per Hour</t>
  </si>
  <si>
    <t>Q4</t>
  </si>
  <si>
    <t>Q2</t>
  </si>
  <si>
    <t>Q3</t>
  </si>
  <si>
    <t>Claim Denied (No Appeal)</t>
  </si>
  <si>
    <t>Lab Order Errors</t>
  </si>
  <si>
    <t>Timely Filing</t>
  </si>
  <si>
    <t>SSN</t>
  </si>
  <si>
    <t>Medical Necessity</t>
  </si>
  <si>
    <t>Name</t>
  </si>
  <si>
    <t>No Authorization</t>
  </si>
  <si>
    <t>DOB</t>
  </si>
  <si>
    <t>Partial Authorization</t>
  </si>
  <si>
    <t>Test</t>
  </si>
  <si>
    <t>Invalid Auth for Patient Status</t>
  </si>
  <si>
    <t>Doctor</t>
  </si>
  <si>
    <t>Other</t>
  </si>
  <si>
    <t>Surgical Retained Foreign Objects</t>
  </si>
  <si>
    <t># RFOs</t>
  </si>
  <si>
    <t>Sponges</t>
  </si>
  <si>
    <t>Instrument</t>
  </si>
  <si>
    <t>Needles</t>
  </si>
  <si>
    <t>Miscellaneous</t>
  </si>
  <si>
    <t xml:space="preserve">Pharmacy </t>
  </si>
  <si>
    <t>Order Entry Errors</t>
  </si>
  <si>
    <t>Type of Wrong Site or Patient Surgery</t>
  </si>
  <si>
    <t>Missing Billing Coding and Info</t>
  </si>
  <si>
    <t>Order not received</t>
  </si>
  <si>
    <t>Orthopedic Surgery</t>
  </si>
  <si>
    <t>Joint Commission Dec 5, 2001</t>
  </si>
  <si>
    <t>Pharmacy</t>
  </si>
  <si>
    <t>Wrong Frequency of Dose</t>
  </si>
  <si>
    <t>General Surgery</t>
  </si>
  <si>
    <t>Diagnosis</t>
  </si>
  <si>
    <t>Duplicate order entry</t>
  </si>
  <si>
    <t>Neurosurgery</t>
  </si>
  <si>
    <t>Treatment charge</t>
  </si>
  <si>
    <t>Urologic Surgery</t>
  </si>
  <si>
    <t>Account type</t>
  </si>
  <si>
    <t>Venipuncture</t>
  </si>
  <si>
    <t>Order not Discontinued</t>
  </si>
  <si>
    <t>Additional Instructions</t>
  </si>
  <si>
    <t>Wrong Site or Patient Surgery</t>
  </si>
  <si>
    <t>Wrong Drug</t>
  </si>
  <si>
    <t>Wrong Body Part or Site</t>
  </si>
  <si>
    <t>Wrong Patient</t>
  </si>
  <si>
    <t>Wrong Patient Surgery</t>
  </si>
  <si>
    <t>Wrong Route (IV vs Intramuscular)</t>
  </si>
  <si>
    <t>Wrong Procedure</t>
  </si>
  <si>
    <t>Missed Start Times in Cath Lab</t>
  </si>
  <si>
    <t>Room Not Read</t>
  </si>
  <si>
    <t>Doctor Not Ready</t>
  </si>
  <si>
    <t>Prior Procedure Too Long</t>
  </si>
  <si>
    <t>Prior Case Add On</t>
  </si>
  <si>
    <t>Prior Case Too Early</t>
  </si>
  <si>
    <t>Case Start Early</t>
  </si>
  <si>
    <t>Pennslyvania Wrong Site Surgeries</t>
  </si>
  <si>
    <t>Pennsylvania Wrong Site Anesthesia Blocks</t>
  </si>
  <si>
    <t>Omission Drug</t>
  </si>
  <si>
    <t>Drug</t>
  </si>
  <si>
    <t>Cost/unit</t>
  </si>
  <si>
    <t>Units Used</t>
  </si>
  <si>
    <t>Total Cost ($000)</t>
  </si>
  <si>
    <t>B</t>
  </si>
  <si>
    <t>C</t>
  </si>
  <si>
    <t>E</t>
  </si>
  <si>
    <t>G</t>
  </si>
  <si>
    <t>NJ Impact of Adverse Events</t>
  </si>
  <si>
    <t>Adverse Event Patient falls in New Jersey Hospitals</t>
  </si>
  <si>
    <t>H</t>
  </si>
  <si>
    <t>Additional laboratory testing</t>
  </si>
  <si>
    <t>NJ 2007</t>
  </si>
  <si>
    <t>Falls 2005</t>
  </si>
  <si>
    <t>Falls 2006</t>
  </si>
  <si>
    <t>Falls 2007</t>
  </si>
  <si>
    <t>I</t>
  </si>
  <si>
    <t>Additional patient monitoring</t>
  </si>
  <si>
    <t>Patient Room</t>
  </si>
  <si>
    <t>Physical disability or mental impairment</t>
  </si>
  <si>
    <t>Hallway</t>
  </si>
  <si>
    <t>K</t>
  </si>
  <si>
    <t>Increased length of stay</t>
  </si>
  <si>
    <t>Emergency Department</t>
  </si>
  <si>
    <t>L</t>
  </si>
  <si>
    <t>Major surgery</t>
  </si>
  <si>
    <t>Radiology</t>
  </si>
  <si>
    <t>Transfer to higher level of care</t>
  </si>
  <si>
    <t>ICU/CCU/TCU</t>
  </si>
  <si>
    <t>Death</t>
  </si>
  <si>
    <t>Telemetry Unit</t>
  </si>
  <si>
    <t>Minor surgery</t>
  </si>
  <si>
    <t>Cardiac Catheterization Laboratory</t>
  </si>
  <si>
    <t>Other additional testing</t>
  </si>
  <si>
    <t>Rehabilitation Areas</t>
  </si>
  <si>
    <t>System/process delay</t>
  </si>
  <si>
    <t>To be determined</t>
  </si>
  <si>
    <t>Hospital admission</t>
  </si>
  <si>
    <t>Loss of bodily function</t>
  </si>
  <si>
    <t>Loss of sensory function</t>
  </si>
  <si>
    <t>Loss of organ</t>
  </si>
  <si>
    <t>SurgicalComplications</t>
  </si>
  <si>
    <t>Complications</t>
  </si>
  <si>
    <t>Joint Commission Journal March 2004</t>
  </si>
  <si>
    <t>Hemorrhage or Hematoma Complicating a Procedure</t>
  </si>
  <si>
    <t>Probable Surg. Camp: Urinary Tract Infection</t>
  </si>
  <si>
    <t>ProbableSurgicalCamp:PulmonaryComplications</t>
  </si>
  <si>
    <t>Other Surgical Camp: Other Complications</t>
  </si>
  <si>
    <t>Body System Complication: Respiratory</t>
  </si>
  <si>
    <t>Probable Surgical Comp: Perioperative Pneumonia</t>
  </si>
  <si>
    <t>Body System Complication: Gastrointestinal</t>
  </si>
  <si>
    <t>Body System Complication: Cardiac</t>
  </si>
  <si>
    <t>Accidental Punctureor Laceration</t>
  </si>
  <si>
    <t>Other Surgical Comp: PostopInfection: All Other Cases</t>
  </si>
  <si>
    <t>Body System Complication: Urinary</t>
  </si>
  <si>
    <t>Body System Complication: Other Body System</t>
  </si>
  <si>
    <t>Probable Surg. Camp: Postoperative Septicemia</t>
  </si>
  <si>
    <t>Other Surgical Comp: Disruption of Operative Wound</t>
  </si>
  <si>
    <t>Probable Surgical Comp: Perioperative Aspiration Pneumonia</t>
  </si>
  <si>
    <t>Probable Surgical Camp: Periop Myocardial Infarction</t>
  </si>
  <si>
    <t>Other Surgical Comp: Postop Infection: Open Bowel Surg</t>
  </si>
  <si>
    <t>Body System Complication: Central Nervous System</t>
  </si>
  <si>
    <t>Probable Surg. Comp: CardiacArrest/Shock</t>
  </si>
  <si>
    <t>Other Surgical Comp: Incisional Hernia</t>
  </si>
  <si>
    <t>Body System Complication: Thrombophlebitis/Phlebitis</t>
  </si>
  <si>
    <t>Other Revision of Vascular Procedure</t>
  </si>
  <si>
    <t>Postoperative Hemorrhage Not Otherwise Specified</t>
  </si>
  <si>
    <t>Reopening of Recent Thoracotomy Site</t>
  </si>
  <si>
    <t>Reopening of Craniotomy Site</t>
  </si>
  <si>
    <t>Foreign Body Accidentally Left</t>
  </si>
  <si>
    <t>Postoperative Shock</t>
  </si>
  <si>
    <t>Postsurgical Hypoinsulinemia</t>
  </si>
  <si>
    <t>Reclosure of Postop. Disruption of Abdominal Wall</t>
  </si>
  <si>
    <t>Hemorrhage Following Vascular Surgery</t>
  </si>
  <si>
    <t>Probable Surg. Camp: Postop. Respiratory Arrest</t>
  </si>
  <si>
    <t>Revision of Corrective Procedure on Heart</t>
  </si>
  <si>
    <t>Reopening of Wound of ThyroidF ield</t>
  </si>
  <si>
    <t>Postoperative Hemorrhage of Bladder</t>
  </si>
  <si>
    <t>Reopening of Recent Laparotomy Site</t>
  </si>
  <si>
    <t>Hemorrhage Following Tonsillectomy/Adenoidectomy</t>
  </si>
  <si>
    <t>Reopening of Laniinectorny Site</t>
  </si>
  <si>
    <t>Reaction to Substance Accidentally Left</t>
  </si>
  <si>
    <t>Postoperative Hemorrhage of Prostate</t>
  </si>
  <si>
    <t>General Hospital</t>
  </si>
  <si>
    <t>Surgical and Other Procedures</t>
  </si>
  <si>
    <t>Probable In-Hospital Trauma: All Other Cases</t>
  </si>
  <si>
    <t>Camp. of Cardiac Device/Implant/Graft</t>
  </si>
  <si>
    <t>Drug RX: Adverse Effects of Prop. Administered Drug</t>
  </si>
  <si>
    <t>Comp. of Other Device/Implant/Graft</t>
  </si>
  <si>
    <t>Comp. of lnfusions/Xfusion: Fluid Overload</t>
  </si>
  <si>
    <t>Camp. of Orthopedic Device/Implant/Graft</t>
  </si>
  <si>
    <t>Probable In~Hospital Trauma: High Risk Cases</t>
  </si>
  <si>
    <t>Late Comp. of Cardiac Surgery</t>
  </si>
  <si>
    <t>Decubitus Ulcers: All Non-Decubitus-Prone Cases</t>
  </si>
  <si>
    <t>Camp. of Tracheostomy</t>
  </si>
  <si>
    <t>Drug Reactions: Other Reactions</t>
  </si>
  <si>
    <t>Drug RX: Drug Poisonings</t>
  </si>
  <si>
    <t>Camp. of lnfusions/Xfusion: Vascular/Infectious Conips.</t>
  </si>
  <si>
    <t>Decubitus Ulcers: Decubitus—Prone Cases</t>
  </si>
  <si>
    <t>Comp. of Infusions/Xfusion: Transfusion RX a Camps.</t>
  </si>
  <si>
    <t>Hypotension 2ndary to Medication</t>
  </si>
  <si>
    <t>Drug RX: Gastrointestinal Complications</t>
  </si>
  <si>
    <t>Drug RX: React to Other Agents, Including Contract Media</t>
  </si>
  <si>
    <t>Death in Low-Mortality DRG</t>
  </si>
  <si>
    <t>Drug Reactions: Anaphylactic Shock</t>
  </si>
  <si>
    <t>Other Hospital Complications</t>
  </si>
  <si>
    <t>Air Embolism</t>
  </si>
  <si>
    <t>Obstetrics</t>
  </si>
  <si>
    <t>Other Obstetrical Trauma</t>
  </si>
  <si>
    <t>Advanced Perineal Lacerations</t>
  </si>
  <si>
    <t>Delivery Wound Complications</t>
  </si>
  <si>
    <t>Major Puerperal Infection, C-sections</t>
  </si>
  <si>
    <t>Camp. of Anesthesia/Sedation, Vaginal Delivery</t>
  </si>
  <si>
    <t>Major Puerperal Infection, Vaginal Delivery</t>
  </si>
  <si>
    <t>Rupture of Uterus During or After Labor</t>
  </si>
  <si>
    <t>Pulmonary embolism</t>
  </si>
  <si>
    <t>Camp. of Anesthesia/Sedation, C—sections</t>
  </si>
  <si>
    <t>Deep phlebothromobosis</t>
  </si>
  <si>
    <t>Type of test</t>
  </si>
  <si>
    <t>Quantity</t>
  </si>
  <si>
    <t>Chemistry</t>
  </si>
  <si>
    <t>Hematology</t>
  </si>
  <si>
    <t>Urine</t>
  </si>
  <si>
    <t>Serology</t>
  </si>
  <si>
    <t>Bacteriology</t>
  </si>
  <si>
    <t>Denominator</t>
  </si>
  <si>
    <t>Numerator</t>
  </si>
  <si>
    <t>1 pt above/below</t>
  </si>
  <si>
    <t>Run of 8 pts</t>
  </si>
  <si>
    <t>6pt trend</t>
  </si>
  <si>
    <t>P Chart in control</t>
  </si>
  <si>
    <t>U Chart in control</t>
  </si>
  <si>
    <t>1 pt outside UCL/LCL</t>
  </si>
  <si>
    <t>Births</t>
  </si>
  <si>
    <t>Sept</t>
  </si>
  <si>
    <t>Infections per 100 Surgeries</t>
  </si>
  <si>
    <t>Patient Type</t>
  </si>
  <si>
    <t>Bariatric</t>
  </si>
  <si>
    <t>Vascular</t>
  </si>
  <si>
    <t>Hips</t>
  </si>
  <si>
    <t>Knee</t>
  </si>
  <si>
    <t>CT External</t>
  </si>
  <si>
    <t>Tight Glycemic Control</t>
  </si>
  <si>
    <t>HGH Hospital</t>
  </si>
  <si>
    <t>Joint Commission Journal</t>
  </si>
  <si>
    <t xml:space="preserve">Surgical Site Infections (Before n=1,443) </t>
  </si>
  <si>
    <t xml:space="preserve">Surgical Site Infections (After n=3383) </t>
  </si>
  <si>
    <t>Q103</t>
  </si>
  <si>
    <t>Q203</t>
  </si>
  <si>
    <t>Q303</t>
  </si>
  <si>
    <t>Q403</t>
  </si>
  <si>
    <t>Q104</t>
  </si>
  <si>
    <t>Q204</t>
  </si>
  <si>
    <t>Q304</t>
  </si>
  <si>
    <t>Q404</t>
  </si>
  <si>
    <t>Q105</t>
  </si>
  <si>
    <t>Q205</t>
  </si>
  <si>
    <t>Q305</t>
  </si>
  <si>
    <t>Q405</t>
  </si>
  <si>
    <t>Q106</t>
  </si>
  <si>
    <t>Q206</t>
  </si>
  <si>
    <t>Q306</t>
  </si>
  <si>
    <t>Q406</t>
  </si>
  <si>
    <t>Door To Balloon Rate 
(90 Min)</t>
  </si>
  <si>
    <t>Central Line BSI Rate per 1000 line days</t>
  </si>
  <si>
    <t>Drug Use Volume and costs</t>
  </si>
  <si>
    <t>Adverse Events</t>
  </si>
  <si>
    <t>Medication management</t>
  </si>
  <si>
    <t>New Medications</t>
  </si>
  <si>
    <t>Effects of surgery</t>
  </si>
  <si>
    <t>Effects of tests</t>
  </si>
  <si>
    <t>infection</t>
  </si>
  <si>
    <t>Injury</t>
  </si>
  <si>
    <t>Mycardial infarction</t>
  </si>
  <si>
    <t>Deep vein thrombosis</t>
  </si>
  <si>
    <t>Fall</t>
  </si>
  <si>
    <t>Pressure Sores</t>
  </si>
  <si>
    <t>Rash</t>
  </si>
  <si>
    <t xml:space="preserve">Breathing Problems </t>
  </si>
  <si>
    <t>Confusion</t>
  </si>
  <si>
    <t>Dizziness</t>
  </si>
  <si>
    <t>Drop in Blood Pressure</t>
  </si>
  <si>
    <t>Pain</t>
  </si>
  <si>
    <t>Other responses</t>
  </si>
  <si>
    <t>Other events</t>
  </si>
  <si>
    <t>Nausea</t>
  </si>
  <si>
    <t>total</t>
  </si>
  <si>
    <t>Days between preventable codes outside of ICU</t>
  </si>
  <si>
    <t>Patient Sat with Pain Control</t>
  </si>
  <si>
    <t>Patient Reported Errors</t>
  </si>
  <si>
    <t>Medical Error</t>
  </si>
  <si>
    <t>Clinician</t>
  </si>
  <si>
    <t>Nonmedical Error</t>
  </si>
  <si>
    <t>Insurance or billing</t>
  </si>
  <si>
    <t>Scheduling</t>
  </si>
  <si>
    <t>Prescription Delay</t>
  </si>
  <si>
    <t>Test results delay</t>
  </si>
  <si>
    <t>Behaviour/Communication</t>
  </si>
  <si>
    <t>Waiting time</t>
  </si>
  <si>
    <t>Clinician disrespect</t>
  </si>
  <si>
    <t>Staff disrespect</t>
  </si>
  <si>
    <t>Felt rushed</t>
  </si>
  <si>
    <t>Technician care</t>
  </si>
  <si>
    <t>Misunderstanding</t>
  </si>
  <si>
    <t>Medical Care</t>
  </si>
  <si>
    <t>Medication side effects</t>
  </si>
  <si>
    <t>Clinician unhelpful</t>
  </si>
  <si>
    <t>Ordering</t>
  </si>
  <si>
    <t>Insurance Coverage</t>
  </si>
  <si>
    <t>Missing documentation</t>
  </si>
  <si>
    <t>Wrong Information</t>
  </si>
  <si>
    <t>Instrumented Deliverys</t>
  </si>
  <si>
    <t>Deliveries</t>
  </si>
  <si>
    <t>Q101</t>
  </si>
  <si>
    <t>Q201</t>
  </si>
  <si>
    <t>Q301</t>
  </si>
  <si>
    <t>Q401</t>
  </si>
  <si>
    <t>Q102</t>
  </si>
  <si>
    <t>Q202</t>
  </si>
  <si>
    <t>Q302</t>
  </si>
  <si>
    <t>Q402</t>
  </si>
  <si>
    <t>Q107</t>
  </si>
  <si>
    <t>Q207</t>
  </si>
  <si>
    <t>Q307</t>
  </si>
  <si>
    <t>Q407</t>
  </si>
  <si>
    <t>Q108</t>
  </si>
  <si>
    <t>Q208</t>
  </si>
  <si>
    <t>Rate</t>
  </si>
  <si>
    <t>Birth Trauma</t>
  </si>
  <si>
    <t>Facility Acquired Pressure Ulcer Ratio</t>
  </si>
  <si>
    <t>Prescribing Errors</t>
  </si>
  <si>
    <t>Allergy Related</t>
  </si>
  <si>
    <t>Ambiguous Order</t>
  </si>
  <si>
    <t>Delayed Treatment</t>
  </si>
  <si>
    <t>Duplicate Additive (TPN)</t>
  </si>
  <si>
    <t>Dupliate Order</t>
  </si>
  <si>
    <t>Duplicate Therapy</t>
  </si>
  <si>
    <t>Illegible</t>
  </si>
  <si>
    <t>Incomplete (TPN and chemotherapy)</t>
  </si>
  <si>
    <t>Incomplete other</t>
  </si>
  <si>
    <t>Ion implance (TPN)</t>
  </si>
  <si>
    <t>Overfill (TPN)</t>
  </si>
  <si>
    <t>Rate/volume (TPN)</t>
  </si>
  <si>
    <t>Unnecessary dose or medication</t>
  </si>
  <si>
    <t>Unordered medication</t>
  </si>
  <si>
    <t>unstable</t>
  </si>
  <si>
    <t>Wrong calculation</t>
  </si>
  <si>
    <t>Wrong concentration</t>
  </si>
  <si>
    <t>Wrong dose of additive</t>
  </si>
  <si>
    <t>Wrong drug</t>
  </si>
  <si>
    <t>Wrong drug Additive</t>
  </si>
  <si>
    <t>Wrong duration of therapy</t>
  </si>
  <si>
    <t>Wrong dosage form</t>
  </si>
  <si>
    <t>Wrong Frequency</t>
  </si>
  <si>
    <t>Wrong rate ofinfusion</t>
  </si>
  <si>
    <t xml:space="preserve">Wrong Route of adminsitration </t>
  </si>
  <si>
    <t>Wrong Schedule</t>
  </si>
  <si>
    <t>Wrong volume</t>
  </si>
  <si>
    <t>Wrong weight</t>
  </si>
  <si>
    <t>Radiology Repeats</t>
  </si>
  <si>
    <t>Exams</t>
  </si>
  <si>
    <t>5/1-11</t>
  </si>
  <si>
    <t>5/12-31</t>
  </si>
  <si>
    <t>6/1-9</t>
  </si>
  <si>
    <t>6/10-23</t>
  </si>
  <si>
    <t>6/24-7/11</t>
  </si>
  <si>
    <t>7/12-8/2</t>
  </si>
  <si>
    <t>8/3-19</t>
  </si>
  <si>
    <t>8/20-9/12</t>
  </si>
  <si>
    <t>9/13-22</t>
  </si>
  <si>
    <t>9/23-10/19</t>
  </si>
  <si>
    <t>10/20-11/2</t>
  </si>
  <si>
    <t>11/3-30</t>
  </si>
  <si>
    <t>12/1-13</t>
  </si>
  <si>
    <t>12/14-1/11</t>
  </si>
  <si>
    <t>1/12-3/1</t>
  </si>
  <si>
    <t>3/2-4/27</t>
  </si>
  <si>
    <t>4/28-6/19</t>
  </si>
  <si>
    <t>6/20-7/31</t>
  </si>
  <si>
    <t>8/1-8/20</t>
  </si>
  <si>
    <t>8/21-9/10</t>
  </si>
  <si>
    <t>9/11-10/24</t>
  </si>
  <si>
    <t>10/25-11/20</t>
  </si>
  <si>
    <t>11/21-2/11</t>
  </si>
  <si>
    <t>Wrong patient</t>
  </si>
  <si>
    <t>Wrong procedure</t>
  </si>
  <si>
    <t>Wrong side</t>
  </si>
  <si>
    <t>Wrong part</t>
  </si>
  <si>
    <t>Journal of Quality and Patient Safety Dec 2009</t>
  </si>
  <si>
    <t>Patient Safety &amp; Quality Healthcare J/A 2009</t>
  </si>
  <si>
    <t>High Alert Medication Errors</t>
  </si>
  <si>
    <t>Harm from High Alert Medication Errors 2006-2008</t>
  </si>
  <si>
    <t>%</t>
  </si>
  <si>
    <t>Type of High Alert Medication Error</t>
  </si>
  <si>
    <t>Insulin</t>
  </si>
  <si>
    <t>Heparin</t>
  </si>
  <si>
    <t>Harm</t>
  </si>
  <si>
    <t>Improper dose/quantity</t>
  </si>
  <si>
    <t>Warfarin</t>
  </si>
  <si>
    <t>Harm Total</t>
  </si>
  <si>
    <t>Unauthorized/wrong drug</t>
  </si>
  <si>
    <t>Digoxin</t>
  </si>
  <si>
    <t>Prescribing error</t>
  </si>
  <si>
    <t>All Others</t>
  </si>
  <si>
    <t>Promethazine</t>
  </si>
  <si>
    <t>Mislabeling</t>
  </si>
  <si>
    <t>Wrong administration</t>
  </si>
  <si>
    <t>Drug prepared incorrectly</t>
  </si>
  <si>
    <t>Wrong route</t>
  </si>
  <si>
    <t>Origin of High Alert Medication Errors</t>
  </si>
  <si>
    <t>Dispensing</t>
  </si>
  <si>
    <t>Administering</t>
  </si>
  <si>
    <t>Transcribing</t>
  </si>
  <si>
    <t>Prescribing</t>
  </si>
  <si>
    <t>Hours of Diversion</t>
  </si>
  <si>
    <t>ED Patient Wait Times for Bed (hours)</t>
  </si>
  <si>
    <t>PT 1</t>
  </si>
  <si>
    <t>Pt 2</t>
  </si>
  <si>
    <t>Pt 3</t>
  </si>
  <si>
    <t>Pt 4</t>
  </si>
  <si>
    <t>Pt 5</t>
  </si>
  <si>
    <t>Pt 6</t>
  </si>
  <si>
    <t>Pt 7</t>
  </si>
  <si>
    <t>Pt 8</t>
  </si>
  <si>
    <t>Pt 9</t>
  </si>
  <si>
    <t>Pt 10</t>
  </si>
  <si>
    <t>Pt 11</t>
  </si>
  <si>
    <t>Pt 12</t>
  </si>
  <si>
    <t>Pt 13</t>
  </si>
  <si>
    <t>Pt 14</t>
  </si>
  <si>
    <t>Pt 15</t>
  </si>
  <si>
    <t>Pt 16</t>
  </si>
  <si>
    <t>Pt 17</t>
  </si>
  <si>
    <t>Pt 18</t>
  </si>
  <si>
    <t>Pt 19</t>
  </si>
  <si>
    <t>Pt 20</t>
  </si>
  <si>
    <t>Pt 21</t>
  </si>
  <si>
    <t>Pt 22</t>
  </si>
  <si>
    <t>Pt 23</t>
  </si>
  <si>
    <t>Pt 24</t>
  </si>
  <si>
    <t>Pt 25</t>
  </si>
  <si>
    <t>Pt 26</t>
  </si>
  <si>
    <t>Pt 27</t>
  </si>
  <si>
    <t>Pt 28</t>
  </si>
  <si>
    <t>Pt 29</t>
  </si>
  <si>
    <t>Pt 30</t>
  </si>
  <si>
    <t>Pt 31</t>
  </si>
  <si>
    <t>Pt 32</t>
  </si>
  <si>
    <t>Pt 33</t>
  </si>
  <si>
    <t>Pt 34</t>
  </si>
  <si>
    <t>Pt 35</t>
  </si>
  <si>
    <t>Pt 36</t>
  </si>
  <si>
    <t>Pt 37</t>
  </si>
  <si>
    <t>Pt 38</t>
  </si>
  <si>
    <t>Pt 39</t>
  </si>
  <si>
    <t>Pt 40</t>
  </si>
  <si>
    <t>Pt 41</t>
  </si>
  <si>
    <t>Pt 42</t>
  </si>
  <si>
    <t>Pt 43</t>
  </si>
  <si>
    <t>Pt 44</t>
  </si>
  <si>
    <t>Pt 45</t>
  </si>
  <si>
    <t>Pt 46</t>
  </si>
  <si>
    <t>Pt 47</t>
  </si>
  <si>
    <t>Pt 48</t>
  </si>
  <si>
    <t>Pt 49</t>
  </si>
  <si>
    <t>Pt 50</t>
  </si>
  <si>
    <t>Pt 51</t>
  </si>
  <si>
    <t>Pt 52</t>
  </si>
  <si>
    <t>Pt 53</t>
  </si>
  <si>
    <t>Pt 54</t>
  </si>
  <si>
    <t>Pt 55</t>
  </si>
  <si>
    <t>Pt 56</t>
  </si>
  <si>
    <t>Pt 57</t>
  </si>
  <si>
    <t>Pt 58</t>
  </si>
  <si>
    <t>Pt 59</t>
  </si>
  <si>
    <t>Pt 60</t>
  </si>
  <si>
    <t>Pt 61</t>
  </si>
  <si>
    <t>Pt 62</t>
  </si>
  <si>
    <t>Pt 63</t>
  </si>
  <si>
    <t>Pt 64</t>
  </si>
  <si>
    <t>Pt 65</t>
  </si>
  <si>
    <t>Pt 66</t>
  </si>
  <si>
    <t>Pt 67</t>
  </si>
  <si>
    <t>Pt 68</t>
  </si>
  <si>
    <t>Pt 69</t>
  </si>
  <si>
    <t>Pt 70</t>
  </si>
  <si>
    <t>Pt 71</t>
  </si>
  <si>
    <t>Pt 72</t>
  </si>
  <si>
    <t>Pt 73</t>
  </si>
  <si>
    <t>Pt 74</t>
  </si>
  <si>
    <t>Pt 75</t>
  </si>
  <si>
    <t>Pt 76</t>
  </si>
  <si>
    <t>Pt 77</t>
  </si>
  <si>
    <t>Pt 78</t>
  </si>
  <si>
    <t>Pt 79</t>
  </si>
  <si>
    <t>Pt 80</t>
  </si>
  <si>
    <t>Pt 81</t>
  </si>
  <si>
    <t>Pt 82</t>
  </si>
  <si>
    <t>Pt 83</t>
  </si>
  <si>
    <t>Pt 84</t>
  </si>
  <si>
    <t>Pt 85</t>
  </si>
  <si>
    <t>Pt 86</t>
  </si>
  <si>
    <t>Pt 87</t>
  </si>
  <si>
    <t>Pt 88</t>
  </si>
  <si>
    <t>Pt 89</t>
  </si>
  <si>
    <t>Pt 90</t>
  </si>
  <si>
    <t>Pt 91</t>
  </si>
  <si>
    <t>Pt 92</t>
  </si>
  <si>
    <t>Pt 93</t>
  </si>
  <si>
    <t>Pt 94</t>
  </si>
  <si>
    <t>Pt 95</t>
  </si>
  <si>
    <t>Pt 96</t>
  </si>
  <si>
    <t>Pt 97</t>
  </si>
  <si>
    <t>Pt 98</t>
  </si>
  <si>
    <t>Pt 99</t>
  </si>
  <si>
    <t>Pt 100</t>
  </si>
  <si>
    <t>Pt 101</t>
  </si>
  <si>
    <t>Pt 102</t>
  </si>
  <si>
    <t>Pt 103</t>
  </si>
  <si>
    <t>Pt 104</t>
  </si>
  <si>
    <t>Pt 105</t>
  </si>
  <si>
    <t>Pt 106</t>
  </si>
  <si>
    <t>Pt 107</t>
  </si>
  <si>
    <t>Pt 108</t>
  </si>
  <si>
    <t>Pt 109</t>
  </si>
  <si>
    <t>Pt 110</t>
  </si>
  <si>
    <t>Pt 111</t>
  </si>
  <si>
    <t>Pt 112</t>
  </si>
  <si>
    <t>Pt 113</t>
  </si>
  <si>
    <t>Pt 114</t>
  </si>
  <si>
    <t>Pt 115</t>
  </si>
  <si>
    <t>Pt 116</t>
  </si>
  <si>
    <t>Pt 117</t>
  </si>
  <si>
    <t>Pt 118</t>
  </si>
  <si>
    <t>Pt 119</t>
  </si>
  <si>
    <t>Pt 120</t>
  </si>
  <si>
    <t>Pt 121</t>
  </si>
  <si>
    <t>Pt 122</t>
  </si>
  <si>
    <t>Pt 123</t>
  </si>
  <si>
    <t>Pt 124</t>
  </si>
  <si>
    <t>Pt 125</t>
  </si>
  <si>
    <t>Pt 126</t>
  </si>
  <si>
    <t>Pt 127</t>
  </si>
  <si>
    <t>Pt 128</t>
  </si>
  <si>
    <t>Pt 129</t>
  </si>
  <si>
    <t>Pt 130</t>
  </si>
  <si>
    <t>Pt 131</t>
  </si>
  <si>
    <t>Pt 132</t>
  </si>
  <si>
    <t>Pt 133</t>
  </si>
  <si>
    <t>Pt 134</t>
  </si>
  <si>
    <t>Pt 135</t>
  </si>
  <si>
    <t>Pt 136</t>
  </si>
  <si>
    <t>Pt 137</t>
  </si>
  <si>
    <t>Pt 138</t>
  </si>
  <si>
    <t>Pt 139</t>
  </si>
  <si>
    <t>Pt 140</t>
  </si>
  <si>
    <t>Pt 141</t>
  </si>
  <si>
    <t>Pt 142</t>
  </si>
  <si>
    <t>Pt 143</t>
  </si>
  <si>
    <t>Pt 144</t>
  </si>
  <si>
    <t>Pt 145</t>
  </si>
  <si>
    <t>Pt 146</t>
  </si>
  <si>
    <t>Pt 147</t>
  </si>
  <si>
    <t>Pt 148</t>
  </si>
  <si>
    <t>Pt 149</t>
  </si>
  <si>
    <t>Pt 150</t>
  </si>
  <si>
    <t>Pt 151</t>
  </si>
  <si>
    <t>Pt 152</t>
  </si>
  <si>
    <t>Pt 153</t>
  </si>
  <si>
    <t>Pt 154</t>
  </si>
  <si>
    <t>Pt 155</t>
  </si>
  <si>
    <t>Pt 156</t>
  </si>
  <si>
    <t>Pt 157</t>
  </si>
  <si>
    <t>Pt 158</t>
  </si>
  <si>
    <t>Pt 159</t>
  </si>
  <si>
    <t>Pt 160</t>
  </si>
  <si>
    <t>Pt 161</t>
  </si>
  <si>
    <t>Pt 162</t>
  </si>
  <si>
    <t>Pt 163</t>
  </si>
  <si>
    <t>Pt 164</t>
  </si>
  <si>
    <t>Pt 165</t>
  </si>
  <si>
    <t>Pt 166</t>
  </si>
  <si>
    <t>Pt 167</t>
  </si>
  <si>
    <t>Pt 168</t>
  </si>
  <si>
    <t>Pt 169</t>
  </si>
  <si>
    <t>Pt 170</t>
  </si>
  <si>
    <t>Pt 171</t>
  </si>
  <si>
    <t>Pt 172</t>
  </si>
  <si>
    <t>Pt 173</t>
  </si>
  <si>
    <t>Pt 174</t>
  </si>
  <si>
    <t>Pt 175</t>
  </si>
  <si>
    <t>Pt 176</t>
  </si>
  <si>
    <t>Pt 177</t>
  </si>
  <si>
    <t>Pt 178</t>
  </si>
  <si>
    <t>Pt 179</t>
  </si>
  <si>
    <t>Pt 180</t>
  </si>
  <si>
    <t>Pt 181</t>
  </si>
  <si>
    <t>Pt 182</t>
  </si>
  <si>
    <t>Pt 183</t>
  </si>
  <si>
    <t>Pt 184</t>
  </si>
  <si>
    <t>Pt 185</t>
  </si>
  <si>
    <t>Pt 186</t>
  </si>
  <si>
    <t>Pt 187</t>
  </si>
  <si>
    <t>Pt 188</t>
  </si>
  <si>
    <t>Pt 189</t>
  </si>
  <si>
    <t>Pt 190</t>
  </si>
  <si>
    <t>Pt 191</t>
  </si>
  <si>
    <t>Pt 192</t>
  </si>
  <si>
    <t>Pt 193</t>
  </si>
  <si>
    <t>Pt 194</t>
  </si>
  <si>
    <t>Pt 195</t>
  </si>
  <si>
    <t>Pt 196</t>
  </si>
  <si>
    <t>Pt 197</t>
  </si>
  <si>
    <t>Pt 198</t>
  </si>
  <si>
    <t>Pt 199</t>
  </si>
  <si>
    <t>Pt 200</t>
  </si>
  <si>
    <t>Pt 201</t>
  </si>
  <si>
    <t>Pt 202</t>
  </si>
  <si>
    <t>Pt 203</t>
  </si>
  <si>
    <t>Pt 204</t>
  </si>
  <si>
    <t>Pt 205</t>
  </si>
  <si>
    <t>Pt 206</t>
  </si>
  <si>
    <t>Pt 207</t>
  </si>
  <si>
    <t>Pt 208</t>
  </si>
  <si>
    <t>Pt 209</t>
  </si>
  <si>
    <t>Pt 210</t>
  </si>
  <si>
    <t>Pt 211</t>
  </si>
  <si>
    <t>Pt 212</t>
  </si>
  <si>
    <t>Pt 213</t>
  </si>
  <si>
    <t>Pt 214</t>
  </si>
  <si>
    <t>Pt 215</t>
  </si>
  <si>
    <t>Pt 216</t>
  </si>
  <si>
    <t>Pt 217</t>
  </si>
  <si>
    <t>Pt 218</t>
  </si>
  <si>
    <t>Pt 219</t>
  </si>
  <si>
    <t>Pt 220</t>
  </si>
  <si>
    <t>Pt 221</t>
  </si>
  <si>
    <t>Pt 222</t>
  </si>
  <si>
    <t>Pt 223</t>
  </si>
  <si>
    <t>Pt 224</t>
  </si>
  <si>
    <t>Pt 225</t>
  </si>
  <si>
    <t>Pt 226</t>
  </si>
  <si>
    <t>Pt 227</t>
  </si>
  <si>
    <t>Pt 228</t>
  </si>
  <si>
    <t>Pt 229</t>
  </si>
  <si>
    <t>Pt 230</t>
  </si>
  <si>
    <t>Pt 231</t>
  </si>
  <si>
    <t>Pt 232</t>
  </si>
  <si>
    <t>Pt 233</t>
  </si>
  <si>
    <t>Pt 234</t>
  </si>
  <si>
    <t>Pt 235</t>
  </si>
  <si>
    <t>Pt 236</t>
  </si>
  <si>
    <t>Pt 237</t>
  </si>
  <si>
    <t>Pt 238</t>
  </si>
  <si>
    <t>Pt 239</t>
  </si>
  <si>
    <t>Pt 240</t>
  </si>
  <si>
    <t>Pt 241</t>
  </si>
  <si>
    <t>Pt 242</t>
  </si>
  <si>
    <t>Pt 243</t>
  </si>
  <si>
    <t>Pt 244</t>
  </si>
  <si>
    <t>Pt 245</t>
  </si>
  <si>
    <t>Pt 246</t>
  </si>
  <si>
    <t>Pt 247</t>
  </si>
  <si>
    <t>Pt 248</t>
  </si>
  <si>
    <t>Pt 249</t>
  </si>
  <si>
    <t>Pt 250</t>
  </si>
  <si>
    <t>Pt 251</t>
  </si>
  <si>
    <t>Pt 252</t>
  </si>
  <si>
    <t>Pt 253</t>
  </si>
  <si>
    <t>Pt 254</t>
  </si>
  <si>
    <t>Pt 255</t>
  </si>
  <si>
    <t>Pt 256</t>
  </si>
  <si>
    <t>Pt 257</t>
  </si>
  <si>
    <t>Pt 258</t>
  </si>
  <si>
    <t>Pt 259</t>
  </si>
  <si>
    <t>Pt 260</t>
  </si>
  <si>
    <t>Pt 261</t>
  </si>
  <si>
    <t>Pt 262</t>
  </si>
  <si>
    <t>Pt 263</t>
  </si>
  <si>
    <t>Pt 264</t>
  </si>
  <si>
    <t>Pt 265</t>
  </si>
  <si>
    <t>Pt 266</t>
  </si>
  <si>
    <t>Pt 267</t>
  </si>
  <si>
    <t>Pt 268</t>
  </si>
  <si>
    <t>Pt 269</t>
  </si>
  <si>
    <t>Pt 270</t>
  </si>
  <si>
    <t>Pt 271</t>
  </si>
  <si>
    <t>Pt 272</t>
  </si>
  <si>
    <t>Pt 273</t>
  </si>
  <si>
    <t>Pt 274</t>
  </si>
  <si>
    <t>Pt 275</t>
  </si>
  <si>
    <t>Pt 276</t>
  </si>
  <si>
    <t>Pt 277</t>
  </si>
  <si>
    <t>Pt 278</t>
  </si>
  <si>
    <t>Pt 279</t>
  </si>
  <si>
    <t>Pt 280</t>
  </si>
  <si>
    <t>Pt 281</t>
  </si>
  <si>
    <t>Pt 282</t>
  </si>
  <si>
    <t>Pt 283</t>
  </si>
  <si>
    <t>Pt 284</t>
  </si>
  <si>
    <t>Pt 285</t>
  </si>
  <si>
    <t>Pt 286</t>
  </si>
  <si>
    <t>Pt 287</t>
  </si>
  <si>
    <t>Pt 288</t>
  </si>
  <si>
    <t>Pt 289</t>
  </si>
  <si>
    <t>Pt 290</t>
  </si>
  <si>
    <t>Pt 291</t>
  </si>
  <si>
    <t>Pt 292</t>
  </si>
  <si>
    <t>Pt 293</t>
  </si>
  <si>
    <t>Pt 294</t>
  </si>
  <si>
    <t>Pt 295</t>
  </si>
  <si>
    <t>Pt 296</t>
  </si>
  <si>
    <t>Pt 297</t>
  </si>
  <si>
    <t>Pt 298</t>
  </si>
  <si>
    <t>Pt 299</t>
  </si>
  <si>
    <t>Pt 300</t>
  </si>
  <si>
    <t>Pt 301</t>
  </si>
  <si>
    <t>Pt 302</t>
  </si>
  <si>
    <t>Pt 303</t>
  </si>
  <si>
    <t>Pt 304</t>
  </si>
  <si>
    <t>Pt 305</t>
  </si>
  <si>
    <t>Pt 306</t>
  </si>
  <si>
    <t>Pt 307</t>
  </si>
  <si>
    <t>Pt 308</t>
  </si>
  <si>
    <t>Pt 309</t>
  </si>
  <si>
    <t>Pt 310</t>
  </si>
  <si>
    <t>Pt 311</t>
  </si>
  <si>
    <t>Pt 312</t>
  </si>
  <si>
    <t>Pt 313</t>
  </si>
  <si>
    <t>Pt 314</t>
  </si>
  <si>
    <t>Pt 315</t>
  </si>
  <si>
    <t>Pt 316</t>
  </si>
  <si>
    <t>Pt 317</t>
  </si>
  <si>
    <t>Pt 318</t>
  </si>
  <si>
    <t>Pt 319</t>
  </si>
  <si>
    <t>Pt 320</t>
  </si>
  <si>
    <t>Pt 321</t>
  </si>
  <si>
    <t>Pt 322</t>
  </si>
  <si>
    <t>Pt 323</t>
  </si>
  <si>
    <t>Pt 324</t>
  </si>
  <si>
    <t>Pt 325</t>
  </si>
  <si>
    <t>Pt 326</t>
  </si>
  <si>
    <t>Pt 327</t>
  </si>
  <si>
    <t>Pt 328</t>
  </si>
  <si>
    <t>Pt 329</t>
  </si>
  <si>
    <t>Pt 330</t>
  </si>
  <si>
    <t>Pt 331</t>
  </si>
  <si>
    <t>Pt 332</t>
  </si>
  <si>
    <t>Pt 333</t>
  </si>
  <si>
    <t>Pt 334</t>
  </si>
  <si>
    <t>Pt 335</t>
  </si>
  <si>
    <t>Pt 336</t>
  </si>
  <si>
    <t>Pt 337</t>
  </si>
  <si>
    <t>Pt 338</t>
  </si>
  <si>
    <t>Pt 339</t>
  </si>
  <si>
    <t>Pt 340</t>
  </si>
  <si>
    <t>Pt 341</t>
  </si>
  <si>
    <t>Pt 342</t>
  </si>
  <si>
    <t>Pt 343</t>
  </si>
  <si>
    <t>Pt 344</t>
  </si>
  <si>
    <t>Pt 345</t>
  </si>
  <si>
    <t>Pt 346</t>
  </si>
  <si>
    <t>Pt 347</t>
  </si>
  <si>
    <t>Pt 348</t>
  </si>
  <si>
    <t>Pt 349</t>
  </si>
  <si>
    <t>Pt 350</t>
  </si>
  <si>
    <t>Pt 351</t>
  </si>
  <si>
    <t>Pt 352</t>
  </si>
  <si>
    <t>Pt 353</t>
  </si>
  <si>
    <t>Pt 354</t>
  </si>
  <si>
    <t>Pt 355</t>
  </si>
  <si>
    <t>Pt 356</t>
  </si>
  <si>
    <t>Pt 357</t>
  </si>
  <si>
    <t>Pt 358</t>
  </si>
  <si>
    <t>Pt 359</t>
  </si>
  <si>
    <t>Pt 360</t>
  </si>
  <si>
    <t>Pt 361</t>
  </si>
  <si>
    <t>Pt 362</t>
  </si>
  <si>
    <t>Pt 363</t>
  </si>
  <si>
    <t>Pt 364</t>
  </si>
  <si>
    <t>Pt 365</t>
  </si>
  <si>
    <t>Pt 366</t>
  </si>
  <si>
    <t>Pt 367</t>
  </si>
  <si>
    <t>Pt 368</t>
  </si>
  <si>
    <t>Pt 369</t>
  </si>
  <si>
    <t>Pt 370</t>
  </si>
  <si>
    <t>Pt 371</t>
  </si>
  <si>
    <t>Pt 372</t>
  </si>
  <si>
    <t>Pt 373</t>
  </si>
  <si>
    <t>Pt 374</t>
  </si>
  <si>
    <t>Pt 375</t>
  </si>
  <si>
    <t>Pt 376</t>
  </si>
  <si>
    <t>Pt 377</t>
  </si>
  <si>
    <t>Pt 378</t>
  </si>
  <si>
    <t>Pt 379</t>
  </si>
  <si>
    <t>Pt 380</t>
  </si>
  <si>
    <t>Pt 381</t>
  </si>
  <si>
    <t>Pt 382</t>
  </si>
  <si>
    <t>Pt 383</t>
  </si>
  <si>
    <t>Pt 384</t>
  </si>
  <si>
    <t>Pt 385</t>
  </si>
  <si>
    <t>Pt 386</t>
  </si>
  <si>
    <t>Pt 387</t>
  </si>
  <si>
    <t>Pt 388</t>
  </si>
  <si>
    <t>Pt 389</t>
  </si>
  <si>
    <t>Pt 390</t>
  </si>
  <si>
    <t>Pt 391</t>
  </si>
  <si>
    <t>Pt 392</t>
  </si>
  <si>
    <t>Pt 393</t>
  </si>
  <si>
    <t>Pt 394</t>
  </si>
  <si>
    <t>Pt 395</t>
  </si>
  <si>
    <t>Pt 396</t>
  </si>
  <si>
    <t>Pt 397</t>
  </si>
  <si>
    <t>Pt 398</t>
  </si>
  <si>
    <t>Pt 399</t>
  </si>
  <si>
    <t>Pt 400</t>
  </si>
  <si>
    <t>Pt 401</t>
  </si>
  <si>
    <t>Pt 402</t>
  </si>
  <si>
    <t>Pt 403</t>
  </si>
  <si>
    <t>Pt 404</t>
  </si>
  <si>
    <t>Pt 405</t>
  </si>
  <si>
    <t>Pt 406</t>
  </si>
  <si>
    <t>Pt 407</t>
  </si>
  <si>
    <t>Pt 408</t>
  </si>
  <si>
    <t>Pt 409</t>
  </si>
  <si>
    <t>Pt 410</t>
  </si>
  <si>
    <t>Pt 411</t>
  </si>
  <si>
    <t>Pt 412</t>
  </si>
  <si>
    <t>Pt 413</t>
  </si>
  <si>
    <t>Pt 414</t>
  </si>
  <si>
    <t>Pt 415</t>
  </si>
  <si>
    <t>Pt 416</t>
  </si>
  <si>
    <t>Pt 417</t>
  </si>
  <si>
    <t>Pt 418</t>
  </si>
  <si>
    <t>Pt 419</t>
  </si>
  <si>
    <t>Pt 420</t>
  </si>
  <si>
    <t>Pt 421</t>
  </si>
  <si>
    <t>Pt 422</t>
  </si>
  <si>
    <t>Pt 423</t>
  </si>
  <si>
    <t>Pt 424</t>
  </si>
  <si>
    <t>Pt 425</t>
  </si>
  <si>
    <t>Pt 426</t>
  </si>
  <si>
    <t>Pt 427</t>
  </si>
  <si>
    <t>Pt 428</t>
  </si>
  <si>
    <t>Pt 429</t>
  </si>
  <si>
    <t>Pt 430</t>
  </si>
  <si>
    <t>Pt 431</t>
  </si>
  <si>
    <t>Pt 432</t>
  </si>
  <si>
    <t>Pt 433</t>
  </si>
  <si>
    <t>Pt 434</t>
  </si>
  <si>
    <t>Pt 435</t>
  </si>
  <si>
    <t>Pt 436</t>
  </si>
  <si>
    <t>Pt 437</t>
  </si>
  <si>
    <t>Pt 438</t>
  </si>
  <si>
    <t>Pt 439</t>
  </si>
  <si>
    <t>Pt 440</t>
  </si>
  <si>
    <t>Pt 441</t>
  </si>
  <si>
    <t>Pt 442</t>
  </si>
  <si>
    <t>Pt 443</t>
  </si>
  <si>
    <t>Pt 444</t>
  </si>
  <si>
    <t>Pt 445</t>
  </si>
  <si>
    <t>Pt 446</t>
  </si>
  <si>
    <t>Pt 447</t>
  </si>
  <si>
    <t>Pt 448</t>
  </si>
  <si>
    <t>Pt 449</t>
  </si>
  <si>
    <t>Pt 450</t>
  </si>
  <si>
    <t>Pt 451</t>
  </si>
  <si>
    <t>Pt 452</t>
  </si>
  <si>
    <t>Pt 453</t>
  </si>
  <si>
    <t>Pt 454</t>
  </si>
  <si>
    <t>Pt 455</t>
  </si>
  <si>
    <t>Pt 456</t>
  </si>
  <si>
    <t>Pt 457</t>
  </si>
  <si>
    <t>Pt 458</t>
  </si>
  <si>
    <t>Pt 459</t>
  </si>
  <si>
    <t>Pt 460</t>
  </si>
  <si>
    <t>Pt 461</t>
  </si>
  <si>
    <t>Pt 462</t>
  </si>
  <si>
    <t>Pt 463</t>
  </si>
  <si>
    <t>Pt 464</t>
  </si>
  <si>
    <t>Pt 465</t>
  </si>
  <si>
    <t>Pt 466</t>
  </si>
  <si>
    <t>Pt 467</t>
  </si>
  <si>
    <t>Pt 468</t>
  </si>
  <si>
    <t>Pt 469</t>
  </si>
  <si>
    <t>Pt 470</t>
  </si>
  <si>
    <t>Pt 471</t>
  </si>
  <si>
    <t>Pt 472</t>
  </si>
  <si>
    <t>Pt 473</t>
  </si>
  <si>
    <t>Pt 474</t>
  </si>
  <si>
    <t>Pt 475</t>
  </si>
  <si>
    <t>Pt 476</t>
  </si>
  <si>
    <t>Pt 477</t>
  </si>
  <si>
    <t>Pt 478</t>
  </si>
  <si>
    <t>Pt 479</t>
  </si>
  <si>
    <t>Pt 480</t>
  </si>
  <si>
    <t>Pt 481</t>
  </si>
  <si>
    <t>Pt 482</t>
  </si>
  <si>
    <t>Pt 483</t>
  </si>
  <si>
    <t>Pt 484</t>
  </si>
  <si>
    <t>Pt 485</t>
  </si>
  <si>
    <t>Pt 486</t>
  </si>
  <si>
    <t>Pt 487</t>
  </si>
  <si>
    <t>Pt 488</t>
  </si>
  <si>
    <t>Pt 489</t>
  </si>
  <si>
    <t>Pt 490</t>
  </si>
  <si>
    <t>Pt 491</t>
  </si>
  <si>
    <t>Pt 492</t>
  </si>
  <si>
    <t>Pt 493</t>
  </si>
  <si>
    <t>Pt 494</t>
  </si>
  <si>
    <t>Pt 495</t>
  </si>
  <si>
    <t>Pt 496</t>
  </si>
  <si>
    <t>Pt 497</t>
  </si>
  <si>
    <t>Pt 498</t>
  </si>
  <si>
    <t>Pt 499</t>
  </si>
  <si>
    <t>Pt 500</t>
  </si>
  <si>
    <t>Pt 501</t>
  </si>
  <si>
    <t>Pt 502</t>
  </si>
  <si>
    <t>Pt 503</t>
  </si>
  <si>
    <t>Pt 504</t>
  </si>
  <si>
    <t>Pt 505</t>
  </si>
  <si>
    <t>Pt 506</t>
  </si>
  <si>
    <t>Pt 507</t>
  </si>
  <si>
    <t>Pt 508</t>
  </si>
  <si>
    <t>Pt 509</t>
  </si>
  <si>
    <t>Pt 510</t>
  </si>
  <si>
    <t>Pt 511</t>
  </si>
  <si>
    <t>Pt 512</t>
  </si>
  <si>
    <t>Pt 513</t>
  </si>
  <si>
    <t>Pt 514</t>
  </si>
  <si>
    <t>Pt 515</t>
  </si>
  <si>
    <t>Pt 516</t>
  </si>
  <si>
    <t>Pt 517</t>
  </si>
  <si>
    <t>Pt 518</t>
  </si>
  <si>
    <t>Pt 519</t>
  </si>
  <si>
    <t>Pt 520</t>
  </si>
  <si>
    <t>Pt 521</t>
  </si>
  <si>
    <t>Pt 522</t>
  </si>
  <si>
    <t>Pt 523</t>
  </si>
  <si>
    <t>Pt 524</t>
  </si>
  <si>
    <t>Pt 525</t>
  </si>
  <si>
    <t>Pt 526</t>
  </si>
  <si>
    <t>Pt 527</t>
  </si>
  <si>
    <t>Pt 528</t>
  </si>
  <si>
    <t>Pt 529</t>
  </si>
  <si>
    <t>Pt 530</t>
  </si>
  <si>
    <t>Pt 531</t>
  </si>
  <si>
    <t>Pt 532</t>
  </si>
  <si>
    <t>Pt 533</t>
  </si>
  <si>
    <t>Pt 534</t>
  </si>
  <si>
    <t>Pt 535</t>
  </si>
  <si>
    <t>Pt 536</t>
  </si>
  <si>
    <t>Pt 537</t>
  </si>
  <si>
    <t>Pt 538</t>
  </si>
  <si>
    <t>Pt 539</t>
  </si>
  <si>
    <t>Pt 540</t>
  </si>
  <si>
    <t>Pt 541</t>
  </si>
  <si>
    <t>Pt 542</t>
  </si>
  <si>
    <t>Pt 543</t>
  </si>
  <si>
    <t>Pt 544</t>
  </si>
  <si>
    <t>Pt 545</t>
  </si>
  <si>
    <t>Pt 546</t>
  </si>
  <si>
    <t>Pt 547</t>
  </si>
  <si>
    <t>Pt 548</t>
  </si>
  <si>
    <t>Pt 549</t>
  </si>
  <si>
    <t>Pt 550</t>
  </si>
  <si>
    <t>Pt 551</t>
  </si>
  <si>
    <t>Pt 552</t>
  </si>
  <si>
    <t>Pt 553</t>
  </si>
  <si>
    <t>Pt 554</t>
  </si>
  <si>
    <t>Pt 555</t>
  </si>
  <si>
    <t>Pt 556</t>
  </si>
  <si>
    <t>Pt 557</t>
  </si>
  <si>
    <t>Pt 558</t>
  </si>
  <si>
    <t>Pt 559</t>
  </si>
  <si>
    <t>Pt 560</t>
  </si>
  <si>
    <t>Pt 561</t>
  </si>
  <si>
    <t>Pt 562</t>
  </si>
  <si>
    <t>Pt 563</t>
  </si>
  <si>
    <t>Pt 564</t>
  </si>
  <si>
    <t>Pt 565</t>
  </si>
  <si>
    <t>Pt 566</t>
  </si>
  <si>
    <t>Pt 567</t>
  </si>
  <si>
    <t>Pt 568</t>
  </si>
  <si>
    <t>Pt 569</t>
  </si>
  <si>
    <t>Pt 570</t>
  </si>
  <si>
    <t>Pt 571</t>
  </si>
  <si>
    <t>Pt 572</t>
  </si>
  <si>
    <t>Pt 573</t>
  </si>
  <si>
    <t>Pt 574</t>
  </si>
  <si>
    <t>Pt 575</t>
  </si>
  <si>
    <t>Pt 576</t>
  </si>
  <si>
    <t>Pt 577</t>
  </si>
  <si>
    <t>Pt 578</t>
  </si>
  <si>
    <t>Pt 579</t>
  </si>
  <si>
    <t>Pt 580</t>
  </si>
  <si>
    <t>Pt 581</t>
  </si>
  <si>
    <t>Pt 582</t>
  </si>
  <si>
    <t>Pt 583</t>
  </si>
  <si>
    <t>Pt 584</t>
  </si>
  <si>
    <t>Pt 585</t>
  </si>
  <si>
    <t>Pt 586</t>
  </si>
  <si>
    <t>Pt 587</t>
  </si>
  <si>
    <t>Pt 588</t>
  </si>
  <si>
    <t>Pt 589</t>
  </si>
  <si>
    <t>Pt 590</t>
  </si>
  <si>
    <t>Pt 591</t>
  </si>
  <si>
    <t>Pt 592</t>
  </si>
  <si>
    <t>Pt 593</t>
  </si>
  <si>
    <t>Pt 594</t>
  </si>
  <si>
    <t>Pt 595</t>
  </si>
  <si>
    <t>Pt 596</t>
  </si>
  <si>
    <t>Pt 597</t>
  </si>
  <si>
    <t>Pt 598</t>
  </si>
  <si>
    <t>Pt 599</t>
  </si>
  <si>
    <t>Pt 600</t>
  </si>
  <si>
    <t>Pt 601</t>
  </si>
  <si>
    <t>Pt 602</t>
  </si>
  <si>
    <t>Pt 603</t>
  </si>
  <si>
    <t>Pt 604</t>
  </si>
  <si>
    <t>Pt 605</t>
  </si>
  <si>
    <t>Pt 606</t>
  </si>
  <si>
    <t>Pt 607</t>
  </si>
  <si>
    <t>Pt 608</t>
  </si>
  <si>
    <t>Pt 609</t>
  </si>
  <si>
    <t>Pt 610</t>
  </si>
  <si>
    <t>Pt 611</t>
  </si>
  <si>
    <t>Pt 612</t>
  </si>
  <si>
    <t>Pt 613</t>
  </si>
  <si>
    <t>Pt 614</t>
  </si>
  <si>
    <t>Pt 615</t>
  </si>
  <si>
    <t>Pt 616</t>
  </si>
  <si>
    <t>Pt 617</t>
  </si>
  <si>
    <t>Pt 618</t>
  </si>
  <si>
    <t>Pt 619</t>
  </si>
  <si>
    <t>Pt 620</t>
  </si>
  <si>
    <t>Medication Errors</t>
  </si>
  <si>
    <t>Bacteraemias</t>
  </si>
  <si>
    <t>Q1</t>
  </si>
  <si>
    <t>Days Between Nosocomial Infections</t>
  </si>
  <si>
    <t>Days Between Unit Deaths</t>
  </si>
  <si>
    <t>Date of Death</t>
  </si>
  <si>
    <t>Date of Infection</t>
  </si>
  <si>
    <t>ED Admits</t>
  </si>
  <si>
    <t>Mon</t>
  </si>
  <si>
    <t>Tue</t>
  </si>
  <si>
    <t>Wed</t>
  </si>
  <si>
    <t>Thu</t>
  </si>
  <si>
    <t>Fri</t>
  </si>
  <si>
    <t>ED Admits Week 1</t>
  </si>
  <si>
    <t>ED Admits Week 2</t>
  </si>
  <si>
    <t>ED Admits Week 3</t>
  </si>
  <si>
    <t>ED Admits Week 4</t>
  </si>
  <si>
    <t>ED Admits Week 5</t>
  </si>
  <si>
    <t>ED Admits Week 6</t>
  </si>
  <si>
    <t>Data Sanity, Davis Balestracci</t>
  </si>
  <si>
    <t>Discharge Delays</t>
  </si>
  <si>
    <t>LTC</t>
  </si>
  <si>
    <t>Discharge Planning</t>
  </si>
  <si>
    <t>Trans-family</t>
  </si>
  <si>
    <t>Caregiver</t>
  </si>
  <si>
    <t>Consult</t>
  </si>
  <si>
    <t>MRI</t>
  </si>
  <si>
    <t>Trans-vendor</t>
  </si>
  <si>
    <t>Echo</t>
  </si>
  <si>
    <t>Labs</t>
  </si>
  <si>
    <t>General</t>
  </si>
  <si>
    <t>Ins/Financial</t>
  </si>
  <si>
    <t>HUC Transcripts</t>
  </si>
  <si>
    <t>MD Related</t>
  </si>
  <si>
    <t>Adverse Drug Events</t>
  </si>
  <si>
    <t>After Training</t>
  </si>
  <si>
    <t>Time To Thrombolitics</t>
  </si>
  <si>
    <t>Data Sanity - Davis Balestracci</t>
  </si>
  <si>
    <t>USL= 60 min</t>
  </si>
  <si>
    <t>1000 pt days</t>
  </si>
  <si>
    <t>Monitoring</t>
  </si>
  <si>
    <t>RFOs After</t>
  </si>
  <si>
    <t>Door to Balloon (D2B) Times</t>
  </si>
  <si>
    <t>VAP Infections</t>
  </si>
  <si>
    <t>Vent Days</t>
  </si>
  <si>
    <t>VAP Rate</t>
  </si>
  <si>
    <t>Hand Hygiene Compliance Percentage by Week</t>
  </si>
  <si>
    <t>ICU Admissions between Infections</t>
  </si>
  <si>
    <t>Age Group</t>
  </si>
  <si>
    <t>Unit</t>
  </si>
  <si>
    <t>18-39</t>
  </si>
  <si>
    <t>ICU</t>
  </si>
  <si>
    <t>40-59</t>
  </si>
  <si>
    <t>Step-down</t>
  </si>
  <si>
    <t>60-79</t>
  </si>
  <si>
    <t>Surgical</t>
  </si>
  <si>
    <t>80+</t>
  </si>
  <si>
    <t>Medical</t>
  </si>
  <si>
    <t>Rehab</t>
  </si>
  <si>
    <t>Falls</t>
  </si>
  <si>
    <t>Days Between Falls</t>
  </si>
  <si>
    <t>Falls 2019</t>
  </si>
  <si>
    <t>Q119</t>
  </si>
  <si>
    <t>Q219</t>
  </si>
  <si>
    <t>Q319</t>
  </si>
  <si>
    <t>Q419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</si>
  <si>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</si>
  <si>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</si>
  <si>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</si>
  <si>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</si>
  <si>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</si>
  <si>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</si>
  <si>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</si>
  <si>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</si>
  <si>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</si>
  <si>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</si>
  <si>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3Q21</t>
  </si>
  <si>
    <t>4Q21</t>
  </si>
  <si>
    <t>1Q22</t>
  </si>
  <si>
    <t>2Q22</t>
  </si>
  <si>
    <t>3Q22</t>
  </si>
  <si>
    <t>4Q22</t>
  </si>
  <si>
    <t>1Q23</t>
  </si>
  <si>
    <t>2Q23</t>
  </si>
  <si>
    <t>3Q23</t>
  </si>
  <si>
    <t>4Q23</t>
  </si>
  <si>
    <t>1Q24</t>
  </si>
  <si>
    <t>2Q24</t>
  </si>
  <si>
    <t>3Q24</t>
  </si>
  <si>
    <t>4Q24</t>
  </si>
  <si>
    <t>1Q25</t>
  </si>
  <si>
    <t>2Q25</t>
  </si>
  <si>
    <t>3Q25</t>
  </si>
  <si>
    <t>Falls - UCLA Med Ctr 2008-2019</t>
  </si>
  <si>
    <t>Q1 2017</t>
  </si>
  <si>
    <t>Q1 2018</t>
  </si>
  <si>
    <t>Jan 2019</t>
  </si>
  <si>
    <t>Falls 2017</t>
  </si>
  <si>
    <t>Falls 2018</t>
  </si>
  <si>
    <t>Q116</t>
  </si>
  <si>
    <t>Q216</t>
  </si>
  <si>
    <t>Q316</t>
  </si>
  <si>
    <t>Q416</t>
  </si>
  <si>
    <t>Q117</t>
  </si>
  <si>
    <t>Q217</t>
  </si>
  <si>
    <t>Q317</t>
  </si>
  <si>
    <t>Q417</t>
  </si>
  <si>
    <t>Q118</t>
  </si>
  <si>
    <t>Q218</t>
  </si>
  <si>
    <t>Q318</t>
  </si>
  <si>
    <t>Q418</t>
  </si>
  <si>
    <t>Q3 2014</t>
  </si>
  <si>
    <t>Q1 2015</t>
  </si>
  <si>
    <t>Q1 2016</t>
  </si>
  <si>
    <t>Q1 2019</t>
  </si>
  <si>
    <t>Jan 2018</t>
  </si>
  <si>
    <t>1/19/20217</t>
  </si>
  <si>
    <t>Time To Thrombolitics (Min After)</t>
  </si>
  <si>
    <t>Time To Thrombolitics (Min Before)</t>
  </si>
  <si>
    <t>Medication Errors Baseline</t>
  </si>
  <si>
    <t>Medication Errors 6 months</t>
  </si>
  <si>
    <t>Medication Errors 18 months</t>
  </si>
  <si>
    <t>Phys ID - Vaginal Delivery</t>
  </si>
  <si>
    <t>Total Charge</t>
  </si>
  <si>
    <t>MD1</t>
  </si>
  <si>
    <t>MD2</t>
  </si>
  <si>
    <t>MD3</t>
  </si>
  <si>
    <t>MD5</t>
  </si>
  <si>
    <t>MD6</t>
  </si>
  <si>
    <t>MD8</t>
  </si>
  <si>
    <t>MD10</t>
  </si>
  <si>
    <t>MD11</t>
  </si>
  <si>
    <t>Physician</t>
  </si>
  <si>
    <t>Adverse Event(s)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</si>
</sst>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164" formatCode="0.0%"/>
    <numFmt numFmtId="165" formatCode="0.0"/>
    <numFmt numFmtId="166" formatCode="[$-409]mmm\-yy;@"/>
    <numFmt numFmtId="167" formatCode="m/d/yy"/>
    <numFmt numFmtId="168" formatCode="_(&quot;$&quot;* #,##0_);_(&quot;$&quot;* \(#,##0\);_(&quot;$&quot;* &quot;-&quot;??_);_(@_)"/>
    <numFmt numFmtId="169" formatCode="m/d"/>
    <numFmt numFmtId="170" formatCode="h:mm;@"/>
    <numFmt numFmtId="171" formatCode="mm/dd/yy;@"/>
    <numFmt numFmtId="172" formatCode="m/d/yy;@"/>
  </numFmts>
  <fonts count="31">
    <font>
      <sz val="10"/>
      <name val="Times"/>
    </font>
    <font>
      <sz val="11"/>
      <color theme="1"/>
      <name val="Calibri"/>
      <family val="2"/>
      <scheme val="minor"/>
    </font>
    <font>
      <sz val="10"/>
      <name val="Times"/>
    </font>
    <font>
      <sz val="10"/>
      <name val="Arial"/>
      <family val="2"/>
    </font>
    <font>
      <sz val="10"/>
      <name val="Geneva"/>
    </font>
    <font>
      <sz val="10"/>
      <name val="MS Sans Serif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rgb="FF222222"/>
      <name val="Arial"/>
      <family val="2"/>
    </font>
    <font>
      <sz val="8"/>
      <name val="Times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5" fillId="0" borderId="0"/>
    <xf numFmtId="0" fontId="7" fillId="0" borderId="0"/>
    <xf numFmtId="0" fontId="8" fillId="0" borderId="0"/>
    <xf numFmtId="0" fontId="4" fillId="0" borderId="0"/>
    <xf numFmtId="0" fontId="3" fillId="23" borderId="7" applyNumberFormat="0" applyFont="0" applyAlignment="0" applyProtection="0"/>
    <xf numFmtId="0" fontId="21" fillId="20" borderId="8" applyNumberFormat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</cellStyleXfs>
  <cellXfs count="359">
    <xf numFmtId="0" fontId="0" fillId="0" borderId="0" xfId="0"/>
    <xf numFmtId="0" fontId="3" fillId="0" borderId="0" xfId="42"/>
    <xf numFmtId="0" fontId="3" fillId="0" borderId="0" xfId="43" applyAlignment="1">
      <alignment horizontal="center" wrapText="1"/>
    </xf>
    <xf numFmtId="0" fontId="3" fillId="0" borderId="0" xfId="43"/>
    <xf numFmtId="0" fontId="6" fillId="0" borderId="0" xfId="42" applyFont="1"/>
    <xf numFmtId="2" fontId="3" fillId="0" borderId="0" xfId="42" applyNumberFormat="1"/>
    <xf numFmtId="0" fontId="7" fillId="0" borderId="0" xfId="48"/>
    <xf numFmtId="0" fontId="6" fillId="0" borderId="0" xfId="0" applyFont="1"/>
    <xf numFmtId="0" fontId="3" fillId="0" borderId="0" xfId="40"/>
    <xf numFmtId="0" fontId="3" fillId="0" borderId="12" xfId="42" applyBorder="1"/>
    <xf numFmtId="0" fontId="3" fillId="0" borderId="0" xfId="42" applyAlignment="1">
      <alignment horizontal="center" wrapText="1"/>
    </xf>
    <xf numFmtId="0" fontId="3" fillId="0" borderId="12" xfId="44" applyBorder="1"/>
    <xf numFmtId="0" fontId="3" fillId="0" borderId="12" xfId="38" applyBorder="1" applyAlignment="1">
      <alignment wrapText="1"/>
    </xf>
    <xf numFmtId="0" fontId="6" fillId="0" borderId="12" xfId="38" applyFont="1" applyBorder="1" applyAlignment="1">
      <alignment horizontal="center" wrapText="1"/>
    </xf>
    <xf numFmtId="0" fontId="3" fillId="0" borderId="0" xfId="38" applyAlignment="1">
      <alignment wrapText="1"/>
    </xf>
    <xf numFmtId="0" fontId="6" fillId="0" borderId="0" xfId="38" applyFont="1" applyAlignment="1">
      <alignment wrapText="1"/>
    </xf>
    <xf numFmtId="0" fontId="3" fillId="0" borderId="12" xfId="38" applyBorder="1"/>
    <xf numFmtId="0" fontId="3" fillId="0" borderId="0" xfId="38"/>
    <xf numFmtId="9" fontId="3" fillId="0" borderId="0" xfId="53" applyFont="1"/>
    <xf numFmtId="9" fontId="3" fillId="0" borderId="0" xfId="53" applyFont="1" applyAlignment="1">
      <alignment wrapText="1"/>
    </xf>
    <xf numFmtId="165" fontId="3" fillId="0" borderId="0" xfId="42" applyNumberFormat="1"/>
    <xf numFmtId="2" fontId="3" fillId="0" borderId="12" xfId="42" applyNumberFormat="1" applyBorder="1"/>
    <xf numFmtId="17" fontId="3" fillId="0" borderId="0" xfId="42" applyNumberFormat="1"/>
    <xf numFmtId="0" fontId="3" fillId="0" borderId="0" xfId="0" applyFont="1"/>
    <xf numFmtId="0" fontId="3" fillId="0" borderId="12" xfId="0" applyFont="1" applyBorder="1"/>
    <xf numFmtId="0" fontId="3" fillId="0" borderId="0" xfId="44"/>
    <xf numFmtId="0" fontId="3" fillId="0" borderId="0" xfId="0" applyFont="1" applyAlignment="1">
      <alignment horizontal="center" wrapText="1"/>
    </xf>
    <xf numFmtId="0" fontId="3" fillId="0" borderId="0" xfId="38" applyAlignment="1">
      <alignment horizontal="right"/>
    </xf>
    <xf numFmtId="0" fontId="3" fillId="0" borderId="0" xfId="38" applyAlignment="1">
      <alignment vertical="top"/>
    </xf>
    <xf numFmtId="0" fontId="25" fillId="0" borderId="0" xfId="57" applyFont="1"/>
    <xf numFmtId="0" fontId="3" fillId="0" borderId="12" xfId="39" applyFont="1" applyBorder="1"/>
    <xf numFmtId="0" fontId="3" fillId="0" borderId="0" xfId="39" applyFont="1"/>
    <xf numFmtId="0" fontId="3" fillId="0" borderId="0" xfId="47" applyFont="1" applyAlignment="1">
      <alignment horizontal="center" wrapText="1"/>
    </xf>
    <xf numFmtId="0" fontId="3" fillId="0" borderId="0" xfId="47" applyFont="1" applyAlignment="1">
      <alignment wrapText="1"/>
    </xf>
    <xf numFmtId="0" fontId="3" fillId="0" borderId="0" xfId="47" applyFont="1"/>
    <xf numFmtId="0" fontId="3" fillId="0" borderId="12" xfId="47" applyFont="1" applyBorder="1"/>
    <xf numFmtId="171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textRotation="90"/>
    </xf>
    <xf numFmtId="165" fontId="3" fillId="0" borderId="12" xfId="42" applyNumberFormat="1" applyBorder="1"/>
    <xf numFmtId="0" fontId="3" fillId="0" borderId="12" xfId="42" applyBorder="1" applyAlignment="1">
      <alignment horizontal="center"/>
    </xf>
    <xf numFmtId="1" fontId="3" fillId="0" borderId="12" xfId="0" applyNumberFormat="1" applyFont="1" applyBorder="1"/>
    <xf numFmtId="17" fontId="3" fillId="0" borderId="16" xfId="42" applyNumberFormat="1" applyBorder="1" applyAlignment="1">
      <alignment horizontal="right" vertical="center" wrapText="1"/>
    </xf>
    <xf numFmtId="165" fontId="3" fillId="0" borderId="17" xfId="42" applyNumberFormat="1" applyBorder="1"/>
    <xf numFmtId="17" fontId="3" fillId="0" borderId="18" xfId="42" applyNumberFormat="1" applyBorder="1" applyAlignment="1">
      <alignment horizontal="right" vertical="center" wrapText="1"/>
    </xf>
    <xf numFmtId="165" fontId="3" fillId="0" borderId="19" xfId="42" applyNumberFormat="1" applyBorder="1"/>
    <xf numFmtId="0" fontId="3" fillId="0" borderId="16" xfId="42" applyBorder="1" applyAlignment="1">
      <alignment horizontal="center"/>
    </xf>
    <xf numFmtId="0" fontId="3" fillId="0" borderId="17" xfId="42" applyBorder="1" applyAlignment="1">
      <alignment horizontal="center"/>
    </xf>
    <xf numFmtId="1" fontId="3" fillId="0" borderId="16" xfId="42" applyNumberFormat="1" applyBorder="1" applyAlignment="1">
      <alignment horizontal="center"/>
    </xf>
    <xf numFmtId="0" fontId="3" fillId="0" borderId="18" xfId="42" applyBorder="1" applyAlignment="1">
      <alignment horizontal="center"/>
    </xf>
    <xf numFmtId="0" fontId="3" fillId="0" borderId="21" xfId="42" applyBorder="1" applyAlignment="1">
      <alignment horizontal="center"/>
    </xf>
    <xf numFmtId="0" fontId="3" fillId="0" borderId="19" xfId="42" applyBorder="1" applyAlignment="1">
      <alignment horizontal="center"/>
    </xf>
    <xf numFmtId="0" fontId="3" fillId="0" borderId="22" xfId="42" applyBorder="1"/>
    <xf numFmtId="0" fontId="3" fillId="0" borderId="23" xfId="42" applyBorder="1"/>
    <xf numFmtId="0" fontId="3" fillId="0" borderId="16" xfId="42" applyBorder="1"/>
    <xf numFmtId="0" fontId="3" fillId="0" borderId="17" xfId="42" applyBorder="1"/>
    <xf numFmtId="0" fontId="3" fillId="0" borderId="16" xfId="42" quotePrefix="1" applyBorder="1"/>
    <xf numFmtId="0" fontId="3" fillId="0" borderId="18" xfId="42" applyBorder="1"/>
    <xf numFmtId="165" fontId="3" fillId="0" borderId="21" xfId="42" applyNumberFormat="1" applyBorder="1"/>
    <xf numFmtId="0" fontId="3" fillId="0" borderId="21" xfId="42" applyBorder="1"/>
    <xf numFmtId="0" fontId="3" fillId="0" borderId="19" xfId="42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4" xfId="42" applyBorder="1"/>
    <xf numFmtId="1" fontId="3" fillId="0" borderId="21" xfId="0" applyNumberFormat="1" applyFont="1" applyBorder="1"/>
    <xf numFmtId="0" fontId="3" fillId="0" borderId="21" xfId="0" applyFont="1" applyBorder="1"/>
    <xf numFmtId="17" fontId="3" fillId="0" borderId="16" xfId="42" applyNumberFormat="1" applyBorder="1"/>
    <xf numFmtId="2" fontId="3" fillId="0" borderId="17" xfId="0" applyNumberFormat="1" applyFont="1" applyBorder="1"/>
    <xf numFmtId="2" fontId="3" fillId="0" borderId="19" xfId="0" applyNumberFormat="1" applyFont="1" applyBorder="1"/>
    <xf numFmtId="164" fontId="3" fillId="0" borderId="17" xfId="53" applyNumberFormat="1" applyFont="1" applyBorder="1"/>
    <xf numFmtId="164" fontId="3" fillId="0" borderId="19" xfId="53" applyNumberFormat="1" applyFont="1" applyBorder="1"/>
    <xf numFmtId="2" fontId="3" fillId="0" borderId="17" xfId="42" applyNumberFormat="1" applyBorder="1"/>
    <xf numFmtId="2" fontId="3" fillId="0" borderId="19" xfId="42" applyNumberFormat="1" applyBorder="1"/>
    <xf numFmtId="170" fontId="3" fillId="0" borderId="22" xfId="0" applyNumberFormat="1" applyFont="1" applyBorder="1"/>
    <xf numFmtId="0" fontId="3" fillId="0" borderId="22" xfId="0" applyFont="1" applyBorder="1"/>
    <xf numFmtId="170" fontId="3" fillId="0" borderId="23" xfId="0" applyNumberFormat="1" applyFont="1" applyBorder="1"/>
    <xf numFmtId="0" fontId="6" fillId="0" borderId="14" xfId="42" applyFont="1" applyBorder="1"/>
    <xf numFmtId="17" fontId="3" fillId="0" borderId="24" xfId="42" applyNumberFormat="1" applyBorder="1" applyAlignment="1">
      <alignment horizontal="right" vertical="center" wrapText="1"/>
    </xf>
    <xf numFmtId="165" fontId="3" fillId="0" borderId="25" xfId="42" applyNumberFormat="1" applyBorder="1"/>
    <xf numFmtId="0" fontId="3" fillId="0" borderId="24" xfId="42" applyBorder="1" applyAlignment="1">
      <alignment horizontal="center"/>
    </xf>
    <xf numFmtId="0" fontId="3" fillId="0" borderId="26" xfId="42" applyBorder="1" applyAlignment="1">
      <alignment horizontal="center"/>
    </xf>
    <xf numFmtId="0" fontId="3" fillId="0" borderId="25" xfId="42" applyBorder="1" applyAlignment="1">
      <alignment horizontal="center"/>
    </xf>
    <xf numFmtId="0" fontId="3" fillId="0" borderId="27" xfId="42" applyBorder="1"/>
    <xf numFmtId="0" fontId="3" fillId="0" borderId="24" xfId="42" applyBorder="1"/>
    <xf numFmtId="165" fontId="3" fillId="0" borderId="26" xfId="42" applyNumberFormat="1" applyBorder="1"/>
    <xf numFmtId="0" fontId="3" fillId="0" borderId="26" xfId="42" applyBorder="1"/>
    <xf numFmtId="0" fontId="3" fillId="0" borderId="25" xfId="42" applyBorder="1"/>
    <xf numFmtId="0" fontId="3" fillId="0" borderId="24" xfId="0" applyFont="1" applyBorder="1"/>
    <xf numFmtId="0" fontId="3" fillId="0" borderId="25" xfId="0" applyFont="1" applyBorder="1"/>
    <xf numFmtId="1" fontId="3" fillId="0" borderId="26" xfId="0" applyNumberFormat="1" applyFont="1" applyBorder="1"/>
    <xf numFmtId="0" fontId="3" fillId="0" borderId="26" xfId="0" applyFont="1" applyBorder="1"/>
    <xf numFmtId="2" fontId="3" fillId="0" borderId="25" xfId="0" applyNumberFormat="1" applyFont="1" applyBorder="1"/>
    <xf numFmtId="164" fontId="3" fillId="0" borderId="25" xfId="53" applyNumberFormat="1" applyFont="1" applyBorder="1"/>
    <xf numFmtId="2" fontId="3" fillId="0" borderId="25" xfId="42" applyNumberFormat="1" applyBorder="1"/>
    <xf numFmtId="170" fontId="3" fillId="0" borderId="27" xfId="0" applyNumberFormat="1" applyFont="1" applyBorder="1"/>
    <xf numFmtId="0" fontId="6" fillId="25" borderId="28" xfId="42" applyFont="1" applyFill="1" applyBorder="1" applyAlignment="1">
      <alignment horizontal="center" vertical="center" wrapText="1"/>
    </xf>
    <xf numFmtId="0" fontId="6" fillId="25" borderId="29" xfId="42" applyFont="1" applyFill="1" applyBorder="1" applyAlignment="1">
      <alignment horizontal="center" vertical="center" wrapText="1"/>
    </xf>
    <xf numFmtId="0" fontId="6" fillId="25" borderId="30" xfId="42" applyFont="1" applyFill="1" applyBorder="1" applyAlignment="1">
      <alignment horizontal="center" vertical="center" wrapText="1"/>
    </xf>
    <xf numFmtId="0" fontId="6" fillId="25" borderId="13" xfId="42" applyFont="1" applyFill="1" applyBorder="1" applyAlignment="1">
      <alignment horizontal="center" vertical="center" wrapText="1"/>
    </xf>
    <xf numFmtId="0" fontId="6" fillId="25" borderId="28" xfId="0" applyFont="1" applyFill="1" applyBorder="1" applyAlignment="1">
      <alignment horizontal="center" vertical="center"/>
    </xf>
    <xf numFmtId="0" fontId="6" fillId="25" borderId="29" xfId="0" applyFont="1" applyFill="1" applyBorder="1" applyAlignment="1">
      <alignment horizontal="center" vertical="center" wrapText="1"/>
    </xf>
    <xf numFmtId="0" fontId="6" fillId="25" borderId="30" xfId="0" applyFont="1" applyFill="1" applyBorder="1" applyAlignment="1">
      <alignment horizontal="center" vertical="center"/>
    </xf>
    <xf numFmtId="0" fontId="6" fillId="25" borderId="28" xfId="0" applyFont="1" applyFill="1" applyBorder="1" applyAlignment="1">
      <alignment horizontal="center" vertical="center" wrapText="1"/>
    </xf>
    <xf numFmtId="0" fontId="6" fillId="25" borderId="30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3" fillId="26" borderId="31" xfId="0" applyFont="1" applyFill="1" applyBorder="1"/>
    <xf numFmtId="0" fontId="3" fillId="26" borderId="32" xfId="42" applyFill="1" applyBorder="1"/>
    <xf numFmtId="0" fontId="3" fillId="26" borderId="33" xfId="42" applyFill="1" applyBorder="1"/>
    <xf numFmtId="0" fontId="3" fillId="26" borderId="34" xfId="0" applyFont="1" applyFill="1" applyBorder="1"/>
    <xf numFmtId="0" fontId="3" fillId="26" borderId="0" xfId="42" applyFill="1"/>
    <xf numFmtId="0" fontId="3" fillId="26" borderId="35" xfId="42" applyFill="1" applyBorder="1"/>
    <xf numFmtId="0" fontId="3" fillId="26" borderId="36" xfId="0" applyFont="1" applyFill="1" applyBorder="1"/>
    <xf numFmtId="0" fontId="3" fillId="26" borderId="37" xfId="42" applyFill="1" applyBorder="1"/>
    <xf numFmtId="0" fontId="3" fillId="26" borderId="38" xfId="42" applyFill="1" applyBorder="1"/>
    <xf numFmtId="0" fontId="3" fillId="26" borderId="31" xfId="42" applyFill="1" applyBorder="1"/>
    <xf numFmtId="0" fontId="3" fillId="26" borderId="34" xfId="42" applyFill="1" applyBorder="1"/>
    <xf numFmtId="17" fontId="3" fillId="26" borderId="36" xfId="42" applyNumberFormat="1" applyFill="1" applyBorder="1"/>
    <xf numFmtId="168" fontId="3" fillId="0" borderId="17" xfId="28" applyNumberFormat="1" applyFont="1" applyBorder="1"/>
    <xf numFmtId="168" fontId="3" fillId="0" borderId="19" xfId="28" applyNumberFormat="1" applyFont="1" applyBorder="1"/>
    <xf numFmtId="1" fontId="3" fillId="0" borderId="17" xfId="0" applyNumberFormat="1" applyFont="1" applyBorder="1"/>
    <xf numFmtId="1" fontId="3" fillId="0" borderId="19" xfId="0" applyNumberFormat="1" applyFont="1" applyBorder="1"/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6" fillId="0" borderId="16" xfId="44" applyFont="1" applyBorder="1"/>
    <xf numFmtId="0" fontId="6" fillId="0" borderId="17" xfId="44" applyFont="1" applyBorder="1"/>
    <xf numFmtId="0" fontId="3" fillId="0" borderId="16" xfId="44" applyBorder="1"/>
    <xf numFmtId="0" fontId="3" fillId="0" borderId="17" xfId="44" applyBorder="1"/>
    <xf numFmtId="0" fontId="3" fillId="0" borderId="18" xfId="44" applyBorder="1"/>
    <xf numFmtId="0" fontId="3" fillId="0" borderId="19" xfId="44" applyBorder="1"/>
    <xf numFmtId="0" fontId="3" fillId="0" borderId="16" xfId="44" applyBorder="1" applyAlignment="1">
      <alignment horizontal="right"/>
    </xf>
    <xf numFmtId="0" fontId="3" fillId="0" borderId="18" xfId="44" applyBorder="1" applyAlignment="1">
      <alignment horizontal="right"/>
    </xf>
    <xf numFmtId="0" fontId="3" fillId="0" borderId="21" xfId="44" applyBorder="1"/>
    <xf numFmtId="0" fontId="6" fillId="0" borderId="0" xfId="0" applyFont="1" applyAlignment="1">
      <alignment horizontal="center" vertical="center" wrapText="1"/>
    </xf>
    <xf numFmtId="168" fontId="3" fillId="0" borderId="25" xfId="28" applyNumberFormat="1" applyFont="1" applyBorder="1"/>
    <xf numFmtId="0" fontId="3" fillId="0" borderId="24" xfId="0" applyFont="1" applyBorder="1" applyAlignment="1">
      <alignment wrapText="1"/>
    </xf>
    <xf numFmtId="1" fontId="3" fillId="0" borderId="25" xfId="0" applyNumberFormat="1" applyFont="1" applyBorder="1"/>
    <xf numFmtId="0" fontId="6" fillId="0" borderId="24" xfId="44" applyFont="1" applyBorder="1"/>
    <xf numFmtId="0" fontId="6" fillId="0" borderId="25" xfId="44" applyFont="1" applyBorder="1"/>
    <xf numFmtId="0" fontId="3" fillId="0" borderId="24" xfId="44" applyBorder="1"/>
    <xf numFmtId="0" fontId="3" fillId="0" borderId="26" xfId="44" applyBorder="1"/>
    <xf numFmtId="0" fontId="3" fillId="0" borderId="25" xfId="44" applyBorder="1"/>
    <xf numFmtId="0" fontId="3" fillId="0" borderId="24" xfId="44" applyBorder="1" applyAlignment="1">
      <alignment horizontal="right"/>
    </xf>
    <xf numFmtId="0" fontId="6" fillId="25" borderId="28" xfId="44" applyFont="1" applyFill="1" applyBorder="1" applyAlignment="1">
      <alignment horizontal="center" vertical="center" wrapText="1"/>
    </xf>
    <xf numFmtId="0" fontId="6" fillId="25" borderId="29" xfId="44" applyFont="1" applyFill="1" applyBorder="1" applyAlignment="1">
      <alignment horizontal="center" vertical="center" wrapText="1"/>
    </xf>
    <xf numFmtId="0" fontId="6" fillId="25" borderId="30" xfId="44" applyFont="1" applyFill="1" applyBorder="1" applyAlignment="1">
      <alignment horizontal="center" vertical="center" wrapText="1"/>
    </xf>
    <xf numFmtId="0" fontId="3" fillId="26" borderId="39" xfId="0" applyFont="1" applyFill="1" applyBorder="1"/>
    <xf numFmtId="0" fontId="3" fillId="26" borderId="41" xfId="0" applyFont="1" applyFill="1" applyBorder="1"/>
    <xf numFmtId="0" fontId="3" fillId="26" borderId="41" xfId="0" applyFont="1" applyFill="1" applyBorder="1" applyAlignment="1">
      <alignment horizontal="center" wrapText="1"/>
    </xf>
    <xf numFmtId="0" fontId="3" fillId="0" borderId="16" xfId="38" applyBorder="1"/>
    <xf numFmtId="0" fontId="3" fillId="0" borderId="17" xfId="38" applyBorder="1"/>
    <xf numFmtId="0" fontId="3" fillId="0" borderId="18" xfId="38" applyBorder="1"/>
    <xf numFmtId="0" fontId="3" fillId="0" borderId="19" xfId="38" applyBorder="1"/>
    <xf numFmtId="0" fontId="3" fillId="0" borderId="24" xfId="38" applyBorder="1"/>
    <xf numFmtId="0" fontId="3" fillId="0" borderId="25" xfId="38" applyBorder="1"/>
    <xf numFmtId="0" fontId="6" fillId="25" borderId="29" xfId="38" applyFont="1" applyFill="1" applyBorder="1" applyAlignment="1">
      <alignment horizontal="center" vertical="center" wrapText="1"/>
    </xf>
    <xf numFmtId="0" fontId="6" fillId="25" borderId="28" xfId="38" applyFont="1" applyFill="1" applyBorder="1" applyAlignment="1">
      <alignment horizontal="center" vertical="center" wrapText="1"/>
    </xf>
    <xf numFmtId="0" fontId="6" fillId="25" borderId="42" xfId="38" applyFont="1" applyFill="1" applyBorder="1" applyAlignment="1">
      <alignment horizontal="center" vertical="center" wrapText="1"/>
    </xf>
    <xf numFmtId="0" fontId="3" fillId="0" borderId="11" xfId="38" applyBorder="1"/>
    <xf numFmtId="0" fontId="3" fillId="0" borderId="43" xfId="38" applyBorder="1"/>
    <xf numFmtId="0" fontId="3" fillId="0" borderId="10" xfId="38" applyBorder="1"/>
    <xf numFmtId="0" fontId="3" fillId="0" borderId="44" xfId="38" applyBorder="1"/>
    <xf numFmtId="0" fontId="3" fillId="26" borderId="45" xfId="38" applyFill="1" applyBorder="1" applyAlignment="1">
      <alignment wrapText="1"/>
    </xf>
    <xf numFmtId="9" fontId="3" fillId="26" borderId="46" xfId="53" applyFont="1" applyFill="1" applyBorder="1"/>
    <xf numFmtId="9" fontId="3" fillId="26" borderId="47" xfId="53" applyFont="1" applyFill="1" applyBorder="1"/>
    <xf numFmtId="0" fontId="3" fillId="26" borderId="13" xfId="38" applyFill="1" applyBorder="1"/>
    <xf numFmtId="9" fontId="3" fillId="26" borderId="45" xfId="53" applyFont="1" applyFill="1" applyBorder="1"/>
    <xf numFmtId="0" fontId="3" fillId="26" borderId="31" xfId="38" applyFill="1" applyBorder="1" applyAlignment="1">
      <alignment horizontal="right"/>
    </xf>
    <xf numFmtId="3" fontId="3" fillId="26" borderId="33" xfId="38" applyNumberFormat="1" applyFill="1" applyBorder="1"/>
    <xf numFmtId="0" fontId="3" fillId="26" borderId="34" xfId="38" applyFill="1" applyBorder="1" applyAlignment="1">
      <alignment horizontal="right"/>
    </xf>
    <xf numFmtId="0" fontId="3" fillId="26" borderId="35" xfId="38" applyFill="1" applyBorder="1"/>
    <xf numFmtId="0" fontId="3" fillId="26" borderId="36" xfId="38" applyFill="1" applyBorder="1" applyAlignment="1">
      <alignment horizontal="right"/>
    </xf>
    <xf numFmtId="0" fontId="3" fillId="26" borderId="38" xfId="38" applyFill="1" applyBorder="1"/>
    <xf numFmtId="0" fontId="3" fillId="0" borderId="16" xfId="40" applyBorder="1"/>
    <xf numFmtId="0" fontId="3" fillId="0" borderId="17" xfId="40" applyBorder="1"/>
    <xf numFmtId="0" fontId="3" fillId="0" borderId="18" xfId="40" applyBorder="1"/>
    <xf numFmtId="0" fontId="3" fillId="0" borderId="19" xfId="40" applyBorder="1"/>
    <xf numFmtId="0" fontId="3" fillId="0" borderId="24" xfId="40" applyBorder="1"/>
    <xf numFmtId="0" fontId="3" fillId="0" borderId="25" xfId="40" applyBorder="1"/>
    <xf numFmtId="0" fontId="6" fillId="25" borderId="28" xfId="40" applyFont="1" applyFill="1" applyBorder="1" applyAlignment="1">
      <alignment horizontal="center" vertical="center" wrapText="1"/>
    </xf>
    <xf numFmtId="0" fontId="6" fillId="25" borderId="29" xfId="40" applyFont="1" applyFill="1" applyBorder="1" applyAlignment="1">
      <alignment horizontal="center" vertical="center" wrapText="1"/>
    </xf>
    <xf numFmtId="0" fontId="3" fillId="26" borderId="13" xfId="40" applyFill="1" applyBorder="1"/>
    <xf numFmtId="0" fontId="25" fillId="0" borderId="16" xfId="57" applyFont="1" applyBorder="1"/>
    <xf numFmtId="0" fontId="25" fillId="0" borderId="17" xfId="57" applyFont="1" applyBorder="1"/>
    <xf numFmtId="0" fontId="25" fillId="0" borderId="18" xfId="57" applyFont="1" applyBorder="1"/>
    <xf numFmtId="0" fontId="25" fillId="0" borderId="19" xfId="57" applyFont="1" applyBorder="1"/>
    <xf numFmtId="0" fontId="25" fillId="0" borderId="24" xfId="57" applyFont="1" applyBorder="1"/>
    <xf numFmtId="0" fontId="25" fillId="0" borderId="25" xfId="57" applyFont="1" applyBorder="1"/>
    <xf numFmtId="0" fontId="27" fillId="25" borderId="28" xfId="57" applyFont="1" applyFill="1" applyBorder="1" applyAlignment="1">
      <alignment horizontal="center" vertical="center" wrapText="1"/>
    </xf>
    <xf numFmtId="0" fontId="27" fillId="25" borderId="29" xfId="57" applyFont="1" applyFill="1" applyBorder="1" applyAlignment="1">
      <alignment horizontal="center" vertical="center" wrapText="1"/>
    </xf>
    <xf numFmtId="0" fontId="3" fillId="0" borderId="17" xfId="39" applyFont="1" applyBorder="1"/>
    <xf numFmtId="0" fontId="3" fillId="0" borderId="21" xfId="39" applyFont="1" applyBorder="1"/>
    <xf numFmtId="0" fontId="3" fillId="0" borderId="19" xfId="39" applyFont="1" applyBorder="1"/>
    <xf numFmtId="0" fontId="3" fillId="0" borderId="26" xfId="39" applyFont="1" applyBorder="1"/>
    <xf numFmtId="0" fontId="3" fillId="0" borderId="25" xfId="39" applyFont="1" applyBorder="1"/>
    <xf numFmtId="0" fontId="6" fillId="25" borderId="30" xfId="39" applyFont="1" applyFill="1" applyBorder="1" applyAlignment="1">
      <alignment horizontal="center" vertical="center" wrapText="1"/>
    </xf>
    <xf numFmtId="0" fontId="6" fillId="25" borderId="29" xfId="39" applyFont="1" applyFill="1" applyBorder="1" applyAlignment="1">
      <alignment horizontal="center" vertical="center" wrapText="1"/>
    </xf>
    <xf numFmtId="0" fontId="3" fillId="0" borderId="16" xfId="39" applyFont="1" applyBorder="1"/>
    <xf numFmtId="0" fontId="3" fillId="0" borderId="18" xfId="39" applyFont="1" applyBorder="1"/>
    <xf numFmtId="169" fontId="3" fillId="0" borderId="16" xfId="0" applyNumberFormat="1" applyFont="1" applyBorder="1"/>
    <xf numFmtId="169" fontId="3" fillId="0" borderId="18" xfId="0" applyNumberFormat="1" applyFont="1" applyBorder="1"/>
    <xf numFmtId="0" fontId="3" fillId="26" borderId="13" xfId="39" applyFont="1" applyFill="1" applyBorder="1"/>
    <xf numFmtId="169" fontId="3" fillId="0" borderId="24" xfId="0" applyNumberFormat="1" applyFont="1" applyBorder="1"/>
    <xf numFmtId="0" fontId="3" fillId="0" borderId="24" xfId="39" applyFont="1" applyBorder="1"/>
    <xf numFmtId="0" fontId="6" fillId="25" borderId="28" xfId="39" applyFont="1" applyFill="1" applyBorder="1" applyAlignment="1">
      <alignment horizontal="center" vertical="center" wrapText="1"/>
    </xf>
    <xf numFmtId="0" fontId="26" fillId="0" borderId="12" xfId="46" applyFont="1" applyBorder="1"/>
    <xf numFmtId="0" fontId="3" fillId="0" borderId="16" xfId="47" applyFont="1" applyBorder="1"/>
    <xf numFmtId="0" fontId="3" fillId="0" borderId="17" xfId="47" applyFont="1" applyBorder="1"/>
    <xf numFmtId="0" fontId="3" fillId="0" borderId="18" xfId="47" applyFont="1" applyBorder="1"/>
    <xf numFmtId="0" fontId="3" fillId="0" borderId="21" xfId="47" applyFont="1" applyBorder="1"/>
    <xf numFmtId="0" fontId="3" fillId="0" borderId="19" xfId="47" applyFont="1" applyBorder="1"/>
    <xf numFmtId="17" fontId="3" fillId="0" borderId="16" xfId="42" quotePrefix="1" applyNumberFormat="1" applyBorder="1"/>
    <xf numFmtId="166" fontId="3" fillId="0" borderId="16" xfId="0" applyNumberFormat="1" applyFont="1" applyBorder="1"/>
    <xf numFmtId="17" fontId="26" fillId="0" borderId="16" xfId="46" applyNumberFormat="1" applyFont="1" applyBorder="1"/>
    <xf numFmtId="0" fontId="26" fillId="0" borderId="17" xfId="46" applyFont="1" applyBorder="1"/>
    <xf numFmtId="0" fontId="26" fillId="0" borderId="16" xfId="46" applyFont="1" applyBorder="1"/>
    <xf numFmtId="0" fontId="26" fillId="0" borderId="18" xfId="46" applyFont="1" applyBorder="1"/>
    <xf numFmtId="0" fontId="26" fillId="0" borderId="21" xfId="46" applyFont="1" applyBorder="1"/>
    <xf numFmtId="0" fontId="26" fillId="0" borderId="19" xfId="46" applyFont="1" applyBorder="1"/>
    <xf numFmtId="10" fontId="3" fillId="0" borderId="17" xfId="53" applyNumberFormat="1" applyFont="1" applyBorder="1"/>
    <xf numFmtId="10" fontId="3" fillId="0" borderId="19" xfId="53" applyNumberFormat="1" applyFont="1" applyBorder="1"/>
    <xf numFmtId="0" fontId="3" fillId="0" borderId="16" xfId="0" quotePrefix="1" applyFont="1" applyBorder="1"/>
    <xf numFmtId="0" fontId="3" fillId="0" borderId="18" xfId="0" quotePrefix="1" applyFont="1" applyBorder="1"/>
    <xf numFmtId="0" fontId="3" fillId="0" borderId="24" xfId="0" quotePrefix="1" applyFont="1" applyBorder="1"/>
    <xf numFmtId="0" fontId="3" fillId="0" borderId="24" xfId="47" applyFont="1" applyBorder="1"/>
    <xf numFmtId="0" fontId="3" fillId="0" borderId="26" xfId="47" applyFont="1" applyBorder="1"/>
    <xf numFmtId="10" fontId="3" fillId="0" borderId="25" xfId="53" applyNumberFormat="1" applyFont="1" applyBorder="1"/>
    <xf numFmtId="17" fontId="26" fillId="0" borderId="24" xfId="46" applyNumberFormat="1" applyFont="1" applyBorder="1"/>
    <xf numFmtId="0" fontId="26" fillId="0" borderId="26" xfId="46" applyFont="1" applyBorder="1"/>
    <xf numFmtId="0" fontId="26" fillId="0" borderId="25" xfId="46" applyFont="1" applyBorder="1"/>
    <xf numFmtId="17" fontId="3" fillId="0" borderId="24" xfId="0" quotePrefix="1" applyNumberFormat="1" applyFont="1" applyBorder="1"/>
    <xf numFmtId="0" fontId="3" fillId="0" borderId="25" xfId="47" applyFont="1" applyBorder="1"/>
    <xf numFmtId="17" fontId="3" fillId="0" borderId="24" xfId="42" quotePrefix="1" applyNumberFormat="1" applyBorder="1"/>
    <xf numFmtId="0" fontId="6" fillId="25" borderId="28" xfId="47" applyFont="1" applyFill="1" applyBorder="1" applyAlignment="1">
      <alignment horizontal="center" vertical="center" wrapText="1"/>
    </xf>
    <xf numFmtId="0" fontId="6" fillId="25" borderId="30" xfId="47" applyFont="1" applyFill="1" applyBorder="1" applyAlignment="1">
      <alignment horizontal="center" vertical="center" wrapText="1"/>
    </xf>
    <xf numFmtId="0" fontId="6" fillId="25" borderId="29" xfId="47" applyFont="1" applyFill="1" applyBorder="1" applyAlignment="1">
      <alignment horizontal="center" vertical="center" wrapText="1"/>
    </xf>
    <xf numFmtId="0" fontId="6" fillId="25" borderId="30" xfId="47" applyFont="1" applyFill="1" applyBorder="1" applyAlignment="1">
      <alignment horizontal="center" vertical="center" textRotation="90" wrapText="1"/>
    </xf>
    <xf numFmtId="0" fontId="28" fillId="25" borderId="28" xfId="46" applyFont="1" applyFill="1" applyBorder="1" applyAlignment="1">
      <alignment horizontal="center" vertical="center" wrapText="1"/>
    </xf>
    <xf numFmtId="0" fontId="28" fillId="25" borderId="30" xfId="46" applyFont="1" applyFill="1" applyBorder="1" applyAlignment="1">
      <alignment horizontal="center" vertical="center" wrapText="1"/>
    </xf>
    <xf numFmtId="0" fontId="28" fillId="25" borderId="29" xfId="46" applyFont="1" applyFill="1" applyBorder="1" applyAlignment="1">
      <alignment horizontal="center" vertical="center" wrapText="1"/>
    </xf>
    <xf numFmtId="0" fontId="3" fillId="0" borderId="12" xfId="43" applyBorder="1" applyAlignment="1">
      <alignment horizontal="center"/>
    </xf>
    <xf numFmtId="1" fontId="3" fillId="0" borderId="12" xfId="43" applyNumberFormat="1" applyBorder="1" applyAlignment="1">
      <alignment horizontal="center"/>
    </xf>
    <xf numFmtId="0" fontId="3" fillId="0" borderId="17" xfId="43" applyBorder="1" applyAlignment="1">
      <alignment horizontal="center"/>
    </xf>
    <xf numFmtId="0" fontId="3" fillId="0" borderId="21" xfId="43" applyBorder="1" applyAlignment="1">
      <alignment horizontal="center"/>
    </xf>
    <xf numFmtId="0" fontId="3" fillId="0" borderId="19" xfId="43" applyBorder="1" applyAlignment="1">
      <alignment horizontal="center"/>
    </xf>
    <xf numFmtId="0" fontId="3" fillId="0" borderId="26" xfId="43" applyBorder="1" applyAlignment="1">
      <alignment horizontal="center"/>
    </xf>
    <xf numFmtId="0" fontId="3" fillId="0" borderId="25" xfId="43" applyBorder="1" applyAlignment="1">
      <alignment horizontal="center"/>
    </xf>
    <xf numFmtId="0" fontId="6" fillId="25" borderId="30" xfId="43" applyFont="1" applyFill="1" applyBorder="1" applyAlignment="1">
      <alignment horizontal="center" vertical="center" wrapText="1"/>
    </xf>
    <xf numFmtId="0" fontId="6" fillId="25" borderId="29" xfId="43" applyFont="1" applyFill="1" applyBorder="1" applyAlignment="1">
      <alignment horizontal="center" vertical="center" wrapText="1"/>
    </xf>
    <xf numFmtId="14" fontId="3" fillId="0" borderId="16" xfId="0" applyNumberFormat="1" applyFont="1" applyBorder="1"/>
    <xf numFmtId="14" fontId="3" fillId="0" borderId="18" xfId="0" applyNumberFormat="1" applyFont="1" applyBorder="1"/>
    <xf numFmtId="0" fontId="3" fillId="0" borderId="23" xfId="0" applyFont="1" applyBorder="1"/>
    <xf numFmtId="14" fontId="3" fillId="0" borderId="24" xfId="0" applyNumberFormat="1" applyFont="1" applyBorder="1"/>
    <xf numFmtId="0" fontId="3" fillId="0" borderId="27" xfId="0" applyFont="1" applyBorder="1"/>
    <xf numFmtId="14" fontId="6" fillId="25" borderId="28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Border="1"/>
    <xf numFmtId="2" fontId="3" fillId="0" borderId="23" xfId="0" applyNumberFormat="1" applyFont="1" applyBorder="1"/>
    <xf numFmtId="2" fontId="3" fillId="0" borderId="27" xfId="0" applyNumberFormat="1" applyFont="1" applyBorder="1"/>
    <xf numFmtId="2" fontId="6" fillId="25" borderId="13" xfId="0" applyNumberFormat="1" applyFont="1" applyFill="1" applyBorder="1" applyAlignment="1">
      <alignment horizontal="center" vertical="center" wrapText="1"/>
    </xf>
    <xf numFmtId="0" fontId="3" fillId="0" borderId="12" xfId="48" applyFont="1" applyBorder="1"/>
    <xf numFmtId="17" fontId="3" fillId="0" borderId="16" xfId="48" applyNumberFormat="1" applyFont="1" applyBorder="1"/>
    <xf numFmtId="0" fontId="3" fillId="0" borderId="17" xfId="48" applyFont="1" applyBorder="1"/>
    <xf numFmtId="17" fontId="3" fillId="0" borderId="18" xfId="48" applyNumberFormat="1" applyFont="1" applyBorder="1"/>
    <xf numFmtId="0" fontId="3" fillId="0" borderId="21" xfId="48" applyFont="1" applyBorder="1"/>
    <xf numFmtId="0" fontId="3" fillId="0" borderId="19" xfId="48" applyFont="1" applyBorder="1"/>
    <xf numFmtId="17" fontId="3" fillId="0" borderId="24" xfId="48" applyNumberFormat="1" applyFont="1" applyBorder="1"/>
    <xf numFmtId="0" fontId="3" fillId="0" borderId="26" xfId="48" applyFont="1" applyBorder="1"/>
    <xf numFmtId="0" fontId="3" fillId="0" borderId="25" xfId="48" applyFont="1" applyBorder="1"/>
    <xf numFmtId="0" fontId="6" fillId="25" borderId="28" xfId="48" applyFont="1" applyFill="1" applyBorder="1" applyAlignment="1">
      <alignment horizontal="center" vertical="center" wrapText="1"/>
    </xf>
    <xf numFmtId="0" fontId="6" fillId="25" borderId="30" xfId="48" applyFont="1" applyFill="1" applyBorder="1" applyAlignment="1">
      <alignment horizontal="center" vertical="center" wrapText="1"/>
    </xf>
    <xf numFmtId="0" fontId="6" fillId="25" borderId="29" xfId="48" applyFont="1" applyFill="1" applyBorder="1" applyAlignment="1">
      <alignment horizontal="center" vertical="center" wrapText="1"/>
    </xf>
    <xf numFmtId="0" fontId="6" fillId="0" borderId="16" xfId="42" quotePrefix="1" applyFont="1" applyBorder="1" applyAlignment="1">
      <alignment horizontal="center"/>
    </xf>
    <xf numFmtId="0" fontId="6" fillId="0" borderId="18" xfId="42" quotePrefix="1" applyFont="1" applyBorder="1" applyAlignment="1">
      <alignment horizontal="center"/>
    </xf>
    <xf numFmtId="2" fontId="3" fillId="0" borderId="21" xfId="42" applyNumberFormat="1" applyBorder="1"/>
    <xf numFmtId="165" fontId="6" fillId="24" borderId="20" xfId="42" applyNumberFormat="1" applyFont="1" applyFill="1" applyBorder="1"/>
    <xf numFmtId="165" fontId="6" fillId="24" borderId="15" xfId="42" applyNumberFormat="1" applyFont="1" applyFill="1" applyBorder="1"/>
    <xf numFmtId="0" fontId="6" fillId="0" borderId="18" xfId="42" applyFont="1" applyBorder="1"/>
    <xf numFmtId="0" fontId="3" fillId="24" borderId="12" xfId="42" applyFill="1" applyBorder="1"/>
    <xf numFmtId="49" fontId="3" fillId="0" borderId="16" xfId="42" applyNumberFormat="1" applyBorder="1"/>
    <xf numFmtId="0" fontId="3" fillId="24" borderId="17" xfId="42" applyFill="1" applyBorder="1"/>
    <xf numFmtId="49" fontId="3" fillId="0" borderId="18" xfId="42" applyNumberFormat="1" applyBorder="1"/>
    <xf numFmtId="0" fontId="3" fillId="24" borderId="21" xfId="42" applyFill="1" applyBorder="1"/>
    <xf numFmtId="0" fontId="3" fillId="24" borderId="19" xfId="42" applyFill="1" applyBorder="1"/>
    <xf numFmtId="0" fontId="3" fillId="0" borderId="28" xfId="42" applyBorder="1"/>
    <xf numFmtId="0" fontId="3" fillId="24" borderId="30" xfId="42" applyFill="1" applyBorder="1"/>
    <xf numFmtId="0" fontId="3" fillId="24" borderId="29" xfId="42" applyFill="1" applyBorder="1"/>
    <xf numFmtId="0" fontId="6" fillId="25" borderId="14" xfId="42" applyFont="1" applyFill="1" applyBorder="1" applyAlignment="1">
      <alignment horizontal="center" vertical="center" wrapText="1"/>
    </xf>
    <xf numFmtId="49" fontId="6" fillId="25" borderId="20" xfId="42" applyNumberFormat="1" applyFont="1" applyFill="1" applyBorder="1" applyAlignment="1">
      <alignment horizontal="center" vertical="center" wrapText="1"/>
    </xf>
    <xf numFmtId="49" fontId="6" fillId="25" borderId="15" xfId="42" applyNumberFormat="1" applyFont="1" applyFill="1" applyBorder="1" applyAlignment="1">
      <alignment horizontal="center" vertical="center" wrapText="1"/>
    </xf>
    <xf numFmtId="0" fontId="6" fillId="0" borderId="20" xfId="42" applyFont="1" applyBorder="1" applyAlignment="1">
      <alignment horizontal="center" vertical="center"/>
    </xf>
    <xf numFmtId="0" fontId="6" fillId="0" borderId="15" xfId="42" applyFont="1" applyBorder="1" applyAlignment="1">
      <alignment horizontal="center" vertical="center"/>
    </xf>
    <xf numFmtId="14" fontId="29" fillId="0" borderId="0" xfId="0" applyNumberFormat="1" applyFont="1"/>
    <xf numFmtId="0" fontId="26" fillId="0" borderId="12" xfId="49" applyFont="1" applyBorder="1"/>
    <xf numFmtId="0" fontId="26" fillId="0" borderId="12" xfId="45" applyFont="1" applyBorder="1"/>
    <xf numFmtId="0" fontId="26" fillId="0" borderId="16" xfId="49" applyFont="1" applyBorder="1"/>
    <xf numFmtId="0" fontId="26" fillId="0" borderId="17" xfId="49" applyFont="1" applyBorder="1"/>
    <xf numFmtId="0" fontId="26" fillId="0" borderId="18" xfId="49" applyFont="1" applyBorder="1"/>
    <xf numFmtId="0" fontId="26" fillId="0" borderId="21" xfId="49" applyFont="1" applyBorder="1"/>
    <xf numFmtId="0" fontId="26" fillId="0" borderId="19" xfId="49" applyFont="1" applyBorder="1"/>
    <xf numFmtId="0" fontId="26" fillId="0" borderId="16" xfId="45" applyFont="1" applyBorder="1"/>
    <xf numFmtId="0" fontId="26" fillId="0" borderId="17" xfId="45" applyFont="1" applyBorder="1"/>
    <xf numFmtId="0" fontId="26" fillId="0" borderId="18" xfId="45" applyFont="1" applyBorder="1"/>
    <xf numFmtId="0" fontId="26" fillId="0" borderId="21" xfId="45" applyFont="1" applyBorder="1"/>
    <xf numFmtId="0" fontId="26" fillId="0" borderId="19" xfId="45" applyFont="1" applyBorder="1"/>
    <xf numFmtId="0" fontId="26" fillId="0" borderId="24" xfId="49" applyFont="1" applyBorder="1"/>
    <xf numFmtId="0" fontId="26" fillId="0" borderId="26" xfId="49" applyFont="1" applyBorder="1"/>
    <xf numFmtId="0" fontId="26" fillId="0" borderId="25" xfId="49" applyFont="1" applyBorder="1"/>
    <xf numFmtId="0" fontId="26" fillId="0" borderId="24" xfId="45" applyFont="1" applyBorder="1"/>
    <xf numFmtId="0" fontId="26" fillId="0" borderId="26" xfId="45" applyFont="1" applyBorder="1"/>
    <xf numFmtId="0" fontId="26" fillId="0" borderId="25" xfId="45" applyFont="1" applyBorder="1"/>
    <xf numFmtId="0" fontId="28" fillId="25" borderId="28" xfId="49" applyFont="1" applyFill="1" applyBorder="1" applyAlignment="1">
      <alignment horizontal="center" textRotation="90" wrapText="1"/>
    </xf>
    <xf numFmtId="0" fontId="28" fillId="25" borderId="30" xfId="49" applyFont="1" applyFill="1" applyBorder="1" applyAlignment="1">
      <alignment horizontal="center" textRotation="90" wrapText="1"/>
    </xf>
    <xf numFmtId="0" fontId="28" fillId="25" borderId="29" xfId="49" applyFont="1" applyFill="1" applyBorder="1" applyAlignment="1">
      <alignment horizontal="center" textRotation="90" wrapText="1"/>
    </xf>
    <xf numFmtId="0" fontId="6" fillId="25" borderId="28" xfId="0" applyFont="1" applyFill="1" applyBorder="1" applyAlignment="1">
      <alignment horizontal="center" textRotation="90" wrapText="1"/>
    </xf>
    <xf numFmtId="167" fontId="6" fillId="25" borderId="48" xfId="41" applyNumberFormat="1" applyFont="1" applyFill="1" applyBorder="1" applyAlignment="1">
      <alignment horizontal="center" vertical="center" wrapText="1"/>
    </xf>
    <xf numFmtId="0" fontId="6" fillId="25" borderId="49" xfId="41" applyFont="1" applyFill="1" applyBorder="1" applyAlignment="1">
      <alignment horizontal="center" vertical="center" wrapText="1"/>
    </xf>
    <xf numFmtId="172" fontId="3" fillId="0" borderId="12" xfId="0" applyNumberFormat="1" applyFont="1" applyBorder="1"/>
    <xf numFmtId="0" fontId="3" fillId="0" borderId="12" xfId="41" applyFont="1" applyBorder="1"/>
    <xf numFmtId="0" fontId="3" fillId="0" borderId="12" xfId="0" applyFont="1" applyBorder="1" applyAlignment="1">
      <alignment horizontal="right"/>
    </xf>
    <xf numFmtId="171" fontId="29" fillId="0" borderId="34" xfId="0" applyNumberFormat="1" applyFont="1" applyBorder="1"/>
    <xf numFmtId="171" fontId="29" fillId="0" borderId="36" xfId="0" applyNumberFormat="1" applyFont="1" applyBorder="1"/>
    <xf numFmtId="172" fontId="29" fillId="0" borderId="34" xfId="0" applyNumberFormat="1" applyFont="1" applyBorder="1"/>
    <xf numFmtId="172" fontId="29" fillId="0" borderId="36" xfId="0" applyNumberFormat="1" applyFont="1" applyBorder="1"/>
    <xf numFmtId="171" fontId="3" fillId="0" borderId="34" xfId="39" applyNumberFormat="1" applyFont="1" applyBorder="1"/>
    <xf numFmtId="171" fontId="3" fillId="0" borderId="36" xfId="39" applyNumberFormat="1" applyFont="1" applyBorder="1"/>
    <xf numFmtId="171" fontId="3" fillId="0" borderId="16" xfId="42" applyNumberFormat="1" applyBorder="1"/>
    <xf numFmtId="171" fontId="3" fillId="0" borderId="18" xfId="42" applyNumberFormat="1" applyBorder="1"/>
    <xf numFmtId="17" fontId="3" fillId="0" borderId="18" xfId="42" applyNumberFormat="1" applyBorder="1"/>
    <xf numFmtId="0" fontId="6" fillId="25" borderId="41" xfId="42" applyFont="1" applyFill="1" applyBorder="1" applyAlignment="1">
      <alignment horizontal="center" vertical="center" wrapText="1"/>
    </xf>
    <xf numFmtId="171" fontId="3" fillId="0" borderId="24" xfId="42" applyNumberFormat="1" applyBorder="1"/>
    <xf numFmtId="0" fontId="3" fillId="0" borderId="14" xfId="47" applyFont="1" applyBorder="1"/>
    <xf numFmtId="0" fontId="3" fillId="0" borderId="20" xfId="47" applyFont="1" applyBorder="1"/>
    <xf numFmtId="0" fontId="3" fillId="0" borderId="15" xfId="47" applyFont="1" applyBorder="1"/>
    <xf numFmtId="0" fontId="6" fillId="26" borderId="39" xfId="0" applyFont="1" applyFill="1" applyBorder="1" applyAlignment="1">
      <alignment horizontal="centerContinuous"/>
    </xf>
    <xf numFmtId="0" fontId="6" fillId="26" borderId="40" xfId="0" applyFont="1" applyFill="1" applyBorder="1" applyAlignment="1">
      <alignment horizontal="centerContinuous"/>
    </xf>
    <xf numFmtId="0" fontId="6" fillId="26" borderId="41" xfId="0" applyFont="1" applyFill="1" applyBorder="1" applyAlignment="1">
      <alignment horizontal="centerContinuous"/>
    </xf>
    <xf numFmtId="0" fontId="4" fillId="26" borderId="39" xfId="50" applyFill="1" applyBorder="1" applyAlignment="1">
      <alignment horizontal="centerContinuous"/>
    </xf>
    <xf numFmtId="0" fontId="4" fillId="26" borderId="40" xfId="50" applyFill="1" applyBorder="1" applyAlignment="1">
      <alignment horizontal="centerContinuous"/>
    </xf>
    <xf numFmtId="0" fontId="4" fillId="26" borderId="41" xfId="50" applyFill="1" applyBorder="1" applyAlignment="1">
      <alignment horizontal="centerContinuous"/>
    </xf>
    <xf numFmtId="0" fontId="3" fillId="26" borderId="39" xfId="50" applyFont="1" applyFill="1" applyBorder="1" applyAlignment="1">
      <alignment horizontal="centerContinuous" vertical="center"/>
    </xf>
    <xf numFmtId="0" fontId="3" fillId="26" borderId="40" xfId="50" applyFont="1" applyFill="1" applyBorder="1" applyAlignment="1">
      <alignment horizontal="centerContinuous" vertical="center"/>
    </xf>
    <xf numFmtId="0" fontId="3" fillId="26" borderId="41" xfId="50" applyFont="1" applyFill="1" applyBorder="1" applyAlignment="1">
      <alignment horizontal="centerContinuous" vertical="center"/>
    </xf>
    <xf numFmtId="0" fontId="3" fillId="26" borderId="39" xfId="0" applyFont="1" applyFill="1" applyBorder="1" applyAlignment="1">
      <alignment horizontal="centerContinuous" vertical="center"/>
    </xf>
    <xf numFmtId="0" fontId="3" fillId="26" borderId="40" xfId="0" applyFont="1" applyFill="1" applyBorder="1" applyAlignment="1">
      <alignment horizontal="centerContinuous" vertical="center"/>
    </xf>
    <xf numFmtId="0" fontId="3" fillId="26" borderId="41" xfId="0" applyFont="1" applyFill="1" applyBorder="1" applyAlignment="1">
      <alignment horizontal="centerContinuous" vertical="center"/>
    </xf>
    <xf numFmtId="0" fontId="6" fillId="26" borderId="39" xfId="42" applyFont="1" applyFill="1" applyBorder="1" applyAlignment="1">
      <alignment horizontal="centerContinuous"/>
    </xf>
    <xf numFmtId="0" fontId="6" fillId="26" borderId="40" xfId="42" applyFont="1" applyFill="1" applyBorder="1" applyAlignment="1">
      <alignment horizontal="centerContinuous"/>
    </xf>
    <xf numFmtId="0" fontId="6" fillId="26" borderId="41" xfId="42" applyFont="1" applyFill="1" applyBorder="1" applyAlignment="1">
      <alignment horizontal="centerContinuous"/>
    </xf>
    <xf numFmtId="0" fontId="6" fillId="26" borderId="39" xfId="0" applyFont="1" applyFill="1" applyBorder="1" applyAlignment="1">
      <alignment horizontal="center" vertical="center"/>
    </xf>
    <xf numFmtId="0" fontId="6" fillId="26" borderId="40" xfId="0" applyFont="1" applyFill="1" applyBorder="1" applyAlignment="1">
      <alignment horizontal="center" vertical="center"/>
    </xf>
    <xf numFmtId="0" fontId="6" fillId="26" borderId="41" xfId="0" applyFont="1" applyFill="1" applyBorder="1" applyAlignment="1">
      <alignment horizontal="center" vertical="center"/>
    </xf>
    <xf numFmtId="0" fontId="3" fillId="26" borderId="39" xfId="0" applyFont="1" applyFill="1" applyBorder="1" applyAlignment="1">
      <alignment horizontal="center"/>
    </xf>
    <xf numFmtId="0" fontId="3" fillId="26" borderId="40" xfId="0" applyFont="1" applyFill="1" applyBorder="1" applyAlignment="1">
      <alignment horizontal="center"/>
    </xf>
    <xf numFmtId="0" fontId="3" fillId="26" borderId="41" xfId="0" applyFont="1" applyFill="1" applyBorder="1" applyAlignment="1">
      <alignment horizontal="center"/>
    </xf>
    <xf numFmtId="166" fontId="3" fillId="0" borderId="14" xfId="0" applyNumberFormat="1" applyFont="1" applyBorder="1"/>
    <xf numFmtId="0" fontId="3" fillId="0" borderId="20" xfId="0" applyFont="1" applyBorder="1"/>
    <xf numFmtId="0" fontId="3" fillId="0" borderId="15" xfId="0" applyFont="1" applyBorder="1"/>
    <xf numFmtId="166" fontId="3" fillId="0" borderId="18" xfId="0" applyNumberFormat="1" applyFont="1" applyBorder="1"/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57" xr:uid="{00000000-0005-0000-0000-000026000000}"/>
    <cellStyle name="Normal_3.09 Pharmacy Errors" xfId="38" xr:uid="{00000000-0005-0000-0000-000027000000}"/>
    <cellStyle name="Normal_cChart" xfId="39" xr:uid="{00000000-0005-0000-0000-000028000000}"/>
    <cellStyle name="Normal_complications" xfId="40" xr:uid="{00000000-0005-0000-0000-000029000000}"/>
    <cellStyle name="Normal_gChart" xfId="41" xr:uid="{00000000-0005-0000-0000-00002A000000}"/>
    <cellStyle name="Normal_Healthcare" xfId="42" xr:uid="{00000000-0005-0000-0000-00002B000000}"/>
    <cellStyle name="Normal_Healthcare (2)" xfId="43" xr:uid="{00000000-0005-0000-0000-00002C000000}"/>
    <cellStyle name="Normal_Medication Errors" xfId="44" xr:uid="{00000000-0005-0000-0000-00002D000000}"/>
    <cellStyle name="Normal_Oryx Data" xfId="45" xr:uid="{00000000-0005-0000-0000-00002E000000}"/>
    <cellStyle name="Normal_p Data" xfId="46" xr:uid="{00000000-0005-0000-0000-00002F000000}"/>
    <cellStyle name="Normal_Patient Transfers" xfId="47" xr:uid="{00000000-0005-0000-0000-000030000000}"/>
    <cellStyle name="Normal_samp data" xfId="48" xr:uid="{00000000-0005-0000-0000-000031000000}"/>
    <cellStyle name="Normal_Sheet1" xfId="49" xr:uid="{00000000-0005-0000-0000-000032000000}"/>
    <cellStyle name="Normal_Software" xfId="50" xr:uid="{00000000-0005-0000-0000-000033000000}"/>
    <cellStyle name="Note" xfId="51" builtinId="10" customBuiltin="1"/>
    <cellStyle name="Output" xfId="52" builtinId="21" customBuiltin="1"/>
    <cellStyle name="Percent" xfId="53" builtinId="5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053" name="Line 5">
          <a:extLst>
            <a:ext uri="{FF2B5EF4-FFF2-40B4-BE49-F238E27FC236}">
              <a16:creationId xmlns:a16="http://schemas.microsoft.com/office/drawing/2014/main" id="{00000000-0008-0000-1100-00000508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056" name="Line 8">
          <a:extLst>
            <a:ext uri="{FF2B5EF4-FFF2-40B4-BE49-F238E27FC236}">
              <a16:creationId xmlns:a16="http://schemas.microsoft.com/office/drawing/2014/main" id="{00000000-0008-0000-1100-00000808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057" name="Line 9">
          <a:extLst>
            <a:ext uri="{FF2B5EF4-FFF2-40B4-BE49-F238E27FC236}">
              <a16:creationId xmlns:a16="http://schemas.microsoft.com/office/drawing/2014/main" id="{00000000-0008-0000-1100-00000908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058" name="Line 10">
          <a:extLst>
            <a:ext uri="{FF2B5EF4-FFF2-40B4-BE49-F238E27FC236}">
              <a16:creationId xmlns:a16="http://schemas.microsoft.com/office/drawing/2014/main" id="{00000000-0008-0000-1100-00000A08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059" name="Line 11">
          <a:extLst>
            <a:ext uri="{FF2B5EF4-FFF2-40B4-BE49-F238E27FC236}">
              <a16:creationId xmlns:a16="http://schemas.microsoft.com/office/drawing/2014/main" id="{00000000-0008-0000-1100-00000B08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060" name="Line 12">
          <a:extLst>
            <a:ext uri="{FF2B5EF4-FFF2-40B4-BE49-F238E27FC236}">
              <a16:creationId xmlns:a16="http://schemas.microsoft.com/office/drawing/2014/main" id="{00000000-0008-0000-1100-00000C08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76200" cy="200025"/>
    <xdr:sp macro="" textlink="">
      <xdr:nvSpPr>
        <xdr:cNvPr id="1026" name="Text 2">
          <a:extLst>
            <a:ext uri="{FF2B5EF4-FFF2-40B4-BE49-F238E27FC236}">
              <a16:creationId xmlns:a16="http://schemas.microsoft.com/office/drawing/2014/main" id="{00000000-0008-0000-1000-000002040000}"/>
            </a:ext>
          </a:extLst>
        </xdr:cNvPr>
        <xdr:cNvSpPr txBox="1">
          <a:spLocks noChangeArrowheads="1"/>
        </xdr:cNvSpPr>
      </xdr:nvSpPr>
      <xdr:spPr bwMode="auto">
        <a:xfrm>
          <a:off x="25527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</xdr:col>
      <xdr:colOff>238125</xdr:colOff>
      <xdr:row>0</xdr:row>
      <xdr:rowOff>0</xdr:rowOff>
    </xdr:from>
    <xdr:to>
      <xdr:col>9</xdr:col>
      <xdr:colOff>66675</xdr:colOff>
      <xdr:row>0</xdr:row>
      <xdr:rowOff>0</xdr:rowOff>
    </xdr:to>
    <xdr:sp macro="" textlink="">
      <xdr:nvSpPr>
        <xdr:cNvPr id="1076" name="Text 52">
          <a:extLst>
            <a:ext uri="{FF2B5EF4-FFF2-40B4-BE49-F238E27FC236}">
              <a16:creationId xmlns:a16="http://schemas.microsoft.com/office/drawing/2014/main" id="{00000000-0008-0000-1000-000034040000}"/>
            </a:ext>
          </a:extLst>
        </xdr:cNvPr>
        <xdr:cNvSpPr txBox="1">
          <a:spLocks noChangeArrowheads="1"/>
        </xdr:cNvSpPr>
      </xdr:nvSpPr>
      <xdr:spPr bwMode="auto">
        <a:xfrm>
          <a:off x="3248025" y="0"/>
          <a:ext cx="657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AX621"/>
  <sheetViews>
    <sheetView showGridLines="0" tabSelected="1" zoomScale="70" zoomScaleNormal="70" workbookViewId="0">
      <pane ySplit="1" topLeftCell="A2" activePane="bottomLeft" state="frozen"/>
      <selection pane="bottomLeft" sqref="A1:B30"/>
    </sheetView>
  </sheetViews>
  <sheetFormatPr defaultRowHeight="12.75"/>
  <cols>
    <col min="1" max="1" width="9.33203125" style="1"/>
    <col min="2" max="2" width="14.83203125" style="1" customWidth="1"/>
    <col min="3" max="3" width="3.33203125" style="1" customWidth="1"/>
    <col min="4" max="4" width="9.1640625" style="1" customWidth="1"/>
    <col min="5" max="6" width="8.83203125" style="1" customWidth="1"/>
    <col min="7" max="7" width="6.5" style="1" customWidth="1"/>
    <col min="8" max="8" width="12.33203125" style="1" customWidth="1"/>
    <col min="9" max="9" width="11.5" style="1" customWidth="1"/>
    <col min="10" max="10" width="5.83203125" style="1" customWidth="1"/>
    <col min="11" max="11" width="12.33203125" style="1" bestFit="1" customWidth="1"/>
    <col min="12" max="12" width="5.5" style="1" customWidth="1"/>
    <col min="13" max="13" width="10.5" style="1" bestFit="1" customWidth="1"/>
    <col min="14" max="14" width="3.33203125" style="1" customWidth="1"/>
    <col min="15" max="15" width="32" style="1" customWidth="1"/>
    <col min="16" max="16" width="16.33203125" style="1" customWidth="1"/>
    <col min="17" max="17" width="6.6640625" style="1" customWidth="1"/>
    <col min="18" max="18" width="15.83203125" style="1" bestFit="1" customWidth="1"/>
    <col min="19" max="19" width="16.83203125" style="1" customWidth="1"/>
    <col min="20" max="20" width="16.5" style="1" customWidth="1"/>
    <col min="21" max="21" width="17.1640625" style="1" customWidth="1"/>
    <col min="22" max="22" width="9.33203125" style="1"/>
    <col min="23" max="26" width="15" style="1" customWidth="1"/>
    <col min="27" max="27" width="6" style="1" customWidth="1"/>
    <col min="28" max="28" width="9.33203125" style="1"/>
    <col min="29" max="29" width="14.1640625" style="1" customWidth="1"/>
    <col min="30" max="30" width="3.5" style="1" customWidth="1"/>
    <col min="31" max="31" width="13.33203125" style="1" customWidth="1"/>
    <col min="32" max="32" width="15.33203125" style="1" customWidth="1"/>
    <col min="33" max="33" width="16.83203125" style="1" customWidth="1"/>
    <col min="34" max="34" width="3.33203125" style="1" customWidth="1"/>
    <col min="35" max="35" width="9.33203125" style="1"/>
    <col min="36" max="36" width="15" style="1" customWidth="1"/>
    <col min="37" max="37" width="4.33203125" style="1" customWidth="1"/>
    <col min="38" max="38" width="9.33203125" style="1"/>
    <col min="39" max="39" width="17.1640625" style="1" customWidth="1"/>
    <col min="40" max="40" width="4.83203125" style="1" customWidth="1"/>
    <col min="41" max="41" width="9.33203125" style="1"/>
    <col min="42" max="42" width="14" style="1" customWidth="1"/>
    <col min="43" max="44" width="9.33203125" style="1"/>
    <col min="45" max="45" width="18.83203125" style="1" customWidth="1"/>
    <col min="46" max="47" width="9.33203125" style="1"/>
    <col min="48" max="48" width="18.33203125" style="1" customWidth="1"/>
    <col min="49" max="49" width="9.33203125" style="1"/>
    <col min="50" max="50" width="15.83203125" style="1" customWidth="1"/>
    <col min="51" max="16384" width="9.33203125" style="1"/>
  </cols>
  <sheetData>
    <row r="1" spans="1:50" s="10" customFormat="1" ht="90" thickBot="1">
      <c r="A1" s="100" t="s">
        <v>4</v>
      </c>
      <c r="B1" s="329" t="s">
        <v>29</v>
      </c>
      <c r="D1" s="97" t="s">
        <v>27</v>
      </c>
      <c r="E1" s="99" t="s">
        <v>1137</v>
      </c>
      <c r="F1" s="98" t="s">
        <v>28</v>
      </c>
      <c r="H1" s="97" t="s">
        <v>1220</v>
      </c>
      <c r="I1" s="98" t="s">
        <v>1221</v>
      </c>
      <c r="K1" s="100" t="s">
        <v>1144</v>
      </c>
      <c r="M1" s="97"/>
      <c r="N1" s="99" t="s">
        <v>1143</v>
      </c>
      <c r="O1" s="99" t="s">
        <v>1141</v>
      </c>
      <c r="P1" s="98" t="s">
        <v>1142</v>
      </c>
      <c r="R1" s="104" t="s">
        <v>4</v>
      </c>
      <c r="S1" s="102" t="s">
        <v>62</v>
      </c>
      <c r="U1" s="97"/>
      <c r="V1" s="99" t="s">
        <v>85</v>
      </c>
      <c r="W1" s="98" t="s">
        <v>86</v>
      </c>
      <c r="Y1" s="97"/>
      <c r="Z1" s="98" t="s">
        <v>326</v>
      </c>
      <c r="AA1"/>
      <c r="AB1" s="104"/>
      <c r="AC1" s="102" t="s">
        <v>297</v>
      </c>
      <c r="AE1" s="97" t="s">
        <v>298</v>
      </c>
      <c r="AF1" s="99" t="s">
        <v>307</v>
      </c>
      <c r="AG1" s="98" t="s">
        <v>308</v>
      </c>
      <c r="AI1" s="97"/>
      <c r="AJ1" s="98" t="s">
        <v>325</v>
      </c>
      <c r="AL1" s="97"/>
      <c r="AM1" s="98" t="s">
        <v>391</v>
      </c>
      <c r="AO1" s="104"/>
      <c r="AP1" s="102" t="s">
        <v>476</v>
      </c>
      <c r="AR1" s="104"/>
      <c r="AS1" s="102" t="s">
        <v>477</v>
      </c>
      <c r="AU1" s="104" t="s">
        <v>1</v>
      </c>
      <c r="AV1" s="102" t="s">
        <v>1134</v>
      </c>
      <c r="AX1" s="106" t="s">
        <v>1140</v>
      </c>
    </row>
    <row r="2" spans="1:50">
      <c r="A2" s="330">
        <v>43129</v>
      </c>
      <c r="B2" s="80">
        <f>ROUND((D2*1000)/F2,1)</f>
        <v>3.6</v>
      </c>
      <c r="C2" s="292"/>
      <c r="D2" s="81">
        <v>17</v>
      </c>
      <c r="E2" s="82">
        <f t="shared" ref="E2:E30" si="0">F2/1000</f>
        <v>4.6580000000000004</v>
      </c>
      <c r="F2" s="83">
        <v>4658</v>
      </c>
      <c r="H2" s="85" t="s">
        <v>1222</v>
      </c>
      <c r="I2" s="135">
        <v>11033</v>
      </c>
      <c r="K2" s="84">
        <v>79</v>
      </c>
      <c r="M2" s="85" t="s">
        <v>1192</v>
      </c>
      <c r="N2" s="86">
        <f t="shared" ref="N2:N26" si="1">O2*1000/P2</f>
        <v>5.4279749478079333</v>
      </c>
      <c r="O2" s="87">
        <v>13</v>
      </c>
      <c r="P2" s="88">
        <v>2395</v>
      </c>
      <c r="Q2" s="20"/>
      <c r="R2" s="89" t="s">
        <v>63</v>
      </c>
      <c r="S2" s="90">
        <v>82</v>
      </c>
      <c r="U2" s="85" t="s">
        <v>87</v>
      </c>
      <c r="V2" s="87">
        <v>7.7</v>
      </c>
      <c r="W2" s="88">
        <v>2.8</v>
      </c>
      <c r="Y2" s="85" t="s">
        <v>87</v>
      </c>
      <c r="Z2" s="88">
        <v>4.8499999999999996</v>
      </c>
      <c r="AB2" s="89" t="s">
        <v>1164</v>
      </c>
      <c r="AC2" s="93">
        <v>3.6</v>
      </c>
      <c r="AE2" s="85" t="s">
        <v>299</v>
      </c>
      <c r="AF2" s="87">
        <f>ROUND(0.23*1443,0)</f>
        <v>332</v>
      </c>
      <c r="AG2" s="88">
        <f>ROUND(0.009*3383,0)</f>
        <v>30</v>
      </c>
      <c r="AI2" s="85" t="s">
        <v>1197</v>
      </c>
      <c r="AJ2" s="94">
        <v>0.54200000000000004</v>
      </c>
      <c r="AL2" s="79">
        <v>43099</v>
      </c>
      <c r="AM2" s="95">
        <v>1.94</v>
      </c>
      <c r="AN2" s="292"/>
      <c r="AO2" s="79">
        <v>43099</v>
      </c>
      <c r="AP2" s="90">
        <v>507</v>
      </c>
      <c r="AQ2" s="292"/>
      <c r="AR2" s="89" t="s">
        <v>478</v>
      </c>
      <c r="AS2" s="90">
        <v>2.5006450712680817E-2</v>
      </c>
      <c r="AU2" s="89">
        <v>1</v>
      </c>
      <c r="AV2" s="90">
        <v>9</v>
      </c>
      <c r="AX2" s="96">
        <v>7.6388888888888895E-2</v>
      </c>
    </row>
    <row r="3" spans="1:50">
      <c r="A3" s="326">
        <v>43160</v>
      </c>
      <c r="B3" s="43">
        <f t="shared" ref="B3:B30" si="2">ROUND((D3*1000)/F3,1)</f>
        <v>4.5</v>
      </c>
      <c r="C3" s="292"/>
      <c r="D3" s="46">
        <v>22</v>
      </c>
      <c r="E3" s="40">
        <f t="shared" si="0"/>
        <v>4.9089999999999998</v>
      </c>
      <c r="F3" s="47">
        <v>4909</v>
      </c>
      <c r="H3" s="54" t="s">
        <v>1222</v>
      </c>
      <c r="I3" s="119">
        <v>4518</v>
      </c>
      <c r="J3" s="292"/>
      <c r="K3" s="52">
        <v>82</v>
      </c>
      <c r="M3" s="54" t="s">
        <v>105</v>
      </c>
      <c r="N3" s="39">
        <f t="shared" si="1"/>
        <v>9.0309135116359851</v>
      </c>
      <c r="O3" s="9">
        <v>26</v>
      </c>
      <c r="P3" s="55">
        <v>2879</v>
      </c>
      <c r="Q3" s="20"/>
      <c r="R3" s="61" t="s">
        <v>64</v>
      </c>
      <c r="S3" s="62">
        <v>79</v>
      </c>
      <c r="U3" s="54" t="s">
        <v>88</v>
      </c>
      <c r="V3" s="9">
        <v>2.8</v>
      </c>
      <c r="W3" s="55">
        <v>1.7</v>
      </c>
      <c r="Y3" s="68">
        <v>42916</v>
      </c>
      <c r="Z3" s="55">
        <v>4.34</v>
      </c>
      <c r="AB3" s="61" t="s">
        <v>1165</v>
      </c>
      <c r="AC3" s="69">
        <v>2.7</v>
      </c>
      <c r="AE3" s="54" t="s">
        <v>300</v>
      </c>
      <c r="AF3" s="9">
        <f>ROUND(0.02*1443,0)</f>
        <v>29</v>
      </c>
      <c r="AG3" s="55">
        <f>ROUND(0.01*3383,0)</f>
        <v>34</v>
      </c>
      <c r="AI3" s="54" t="s">
        <v>1198</v>
      </c>
      <c r="AJ3" s="71">
        <v>0.46</v>
      </c>
      <c r="AL3" s="42">
        <v>43130</v>
      </c>
      <c r="AM3" s="73">
        <v>2.27</v>
      </c>
      <c r="AN3" s="292"/>
      <c r="AO3" s="42">
        <v>43130</v>
      </c>
      <c r="AP3" s="62">
        <v>422</v>
      </c>
      <c r="AQ3" s="292"/>
      <c r="AR3" s="61" t="s">
        <v>479</v>
      </c>
      <c r="AS3" s="62">
        <v>2.22649294603616</v>
      </c>
      <c r="AU3" s="61">
        <f>AU2+1</f>
        <v>2</v>
      </c>
      <c r="AV3" s="62">
        <v>20</v>
      </c>
      <c r="AX3" s="75">
        <v>3.4722222222222224E-2</v>
      </c>
    </row>
    <row r="4" spans="1:50">
      <c r="A4" s="326">
        <v>43189</v>
      </c>
      <c r="B4" s="43">
        <f t="shared" si="2"/>
        <v>4.7</v>
      </c>
      <c r="C4" s="292"/>
      <c r="D4" s="46">
        <v>23</v>
      </c>
      <c r="E4" s="40">
        <f t="shared" si="0"/>
        <v>4.8860000000000001</v>
      </c>
      <c r="F4" s="47">
        <v>4886</v>
      </c>
      <c r="H4" s="54" t="s">
        <v>1222</v>
      </c>
      <c r="I4" s="119">
        <v>5188</v>
      </c>
      <c r="J4" s="292"/>
      <c r="K4" s="52">
        <v>86</v>
      </c>
      <c r="M4" s="54" t="s">
        <v>106</v>
      </c>
      <c r="N4" s="39">
        <f t="shared" si="1"/>
        <v>7.713884992987377</v>
      </c>
      <c r="O4" s="9">
        <v>22</v>
      </c>
      <c r="P4" s="55">
        <v>2852</v>
      </c>
      <c r="Q4" s="20"/>
      <c r="R4" s="61" t="s">
        <v>65</v>
      </c>
      <c r="S4" s="62">
        <v>84</v>
      </c>
      <c r="U4" s="54" t="s">
        <v>89</v>
      </c>
      <c r="V4" s="9">
        <v>2.2999999999999998</v>
      </c>
      <c r="W4" s="55">
        <v>0</v>
      </c>
      <c r="Y4" s="68">
        <v>42947</v>
      </c>
      <c r="Z4" s="55">
        <v>3.26</v>
      </c>
      <c r="AB4" s="61" t="s">
        <v>1166</v>
      </c>
      <c r="AC4" s="69">
        <v>2.2000000000000002</v>
      </c>
      <c r="AE4" s="54" t="s">
        <v>301</v>
      </c>
      <c r="AF4" s="9">
        <f>ROUND(0.025*1443,0)</f>
        <v>36</v>
      </c>
      <c r="AG4" s="55">
        <f>ROUND(0.012*3383,0)</f>
        <v>41</v>
      </c>
      <c r="AI4" s="85" t="s">
        <v>1199</v>
      </c>
      <c r="AJ4" s="71">
        <v>0.503</v>
      </c>
      <c r="AL4" s="42">
        <v>43159</v>
      </c>
      <c r="AM4" s="73">
        <v>2.56</v>
      </c>
      <c r="AN4" s="292"/>
      <c r="AO4" s="42">
        <v>43159</v>
      </c>
      <c r="AP4" s="62">
        <v>508</v>
      </c>
      <c r="AQ4" s="292"/>
      <c r="AR4" s="61" t="s">
        <v>480</v>
      </c>
      <c r="AS4" s="62">
        <v>2.4279346537950914</v>
      </c>
      <c r="AU4" s="61">
        <f t="shared" ref="AU4:AU56" si="3">AU3+1</f>
        <v>3</v>
      </c>
      <c r="AV4" s="62">
        <v>20</v>
      </c>
      <c r="AX4" s="75">
        <v>4.6527777777777779E-2</v>
      </c>
    </row>
    <row r="5" spans="1:50">
      <c r="A5" s="326">
        <v>43220</v>
      </c>
      <c r="B5" s="43">
        <f t="shared" si="2"/>
        <v>6</v>
      </c>
      <c r="C5" s="292"/>
      <c r="D5" s="46">
        <v>30</v>
      </c>
      <c r="E5" s="40">
        <f t="shared" si="0"/>
        <v>4.97</v>
      </c>
      <c r="F5" s="47">
        <v>4970</v>
      </c>
      <c r="H5" s="54" t="s">
        <v>1222</v>
      </c>
      <c r="I5" s="119">
        <v>13805</v>
      </c>
      <c r="J5" s="292"/>
      <c r="K5" s="52">
        <v>84</v>
      </c>
      <c r="M5" s="54" t="s">
        <v>104</v>
      </c>
      <c r="N5" s="39">
        <f t="shared" si="1"/>
        <v>7.5908909308829404</v>
      </c>
      <c r="O5" s="9">
        <v>19</v>
      </c>
      <c r="P5" s="55">
        <v>2503</v>
      </c>
      <c r="Q5" s="20"/>
      <c r="R5" s="61" t="s">
        <v>66</v>
      </c>
      <c r="S5" s="62">
        <v>82</v>
      </c>
      <c r="U5" s="54" t="s">
        <v>90</v>
      </c>
      <c r="V5" s="9">
        <v>1.9</v>
      </c>
      <c r="W5" s="55">
        <v>0</v>
      </c>
      <c r="Y5" s="68">
        <v>42978</v>
      </c>
      <c r="Z5" s="55">
        <v>2.59</v>
      </c>
      <c r="AB5" s="61" t="s">
        <v>1167</v>
      </c>
      <c r="AC5" s="69">
        <v>1.9</v>
      </c>
      <c r="AE5" s="54" t="s">
        <v>302</v>
      </c>
      <c r="AF5" s="9">
        <f>ROUND(0.016*1443,0)</f>
        <v>23</v>
      </c>
      <c r="AG5" s="55">
        <f>ROUND(0.009*3383,0)</f>
        <v>30</v>
      </c>
      <c r="AI5" s="54" t="s">
        <v>1200</v>
      </c>
      <c r="AJ5" s="71">
        <v>0.49700000000000005</v>
      </c>
      <c r="AL5" s="42">
        <v>43189</v>
      </c>
      <c r="AM5" s="73">
        <v>1.4</v>
      </c>
      <c r="AN5" s="292"/>
      <c r="AO5" s="42">
        <v>43189</v>
      </c>
      <c r="AP5" s="62">
        <v>531</v>
      </c>
      <c r="AQ5" s="292"/>
      <c r="AR5" s="61" t="s">
        <v>481</v>
      </c>
      <c r="AS5" s="62">
        <v>2.4095480815303745</v>
      </c>
      <c r="AU5" s="61">
        <f t="shared" si="3"/>
        <v>4</v>
      </c>
      <c r="AV5" s="62">
        <v>20</v>
      </c>
      <c r="AX5" s="75">
        <v>4.9305555555555554E-2</v>
      </c>
    </row>
    <row r="6" spans="1:50" ht="13.5" thickBot="1">
      <c r="A6" s="326">
        <v>43250</v>
      </c>
      <c r="B6" s="43">
        <f t="shared" si="2"/>
        <v>4.5999999999999996</v>
      </c>
      <c r="C6" s="292"/>
      <c r="D6" s="46">
        <v>22</v>
      </c>
      <c r="E6" s="40">
        <f t="shared" si="0"/>
        <v>4.78</v>
      </c>
      <c r="F6" s="47">
        <v>4780</v>
      </c>
      <c r="H6" s="54" t="s">
        <v>1222</v>
      </c>
      <c r="I6" s="119">
        <v>8607</v>
      </c>
      <c r="J6" s="292"/>
      <c r="K6" s="52">
        <v>85</v>
      </c>
      <c r="M6" s="54" t="s">
        <v>1193</v>
      </c>
      <c r="N6" s="39">
        <f t="shared" si="1"/>
        <v>6.2949640287769784</v>
      </c>
      <c r="O6" s="9">
        <v>14</v>
      </c>
      <c r="P6" s="55">
        <v>2224</v>
      </c>
      <c r="Q6" s="20"/>
      <c r="R6" s="61" t="s">
        <v>65</v>
      </c>
      <c r="S6" s="62">
        <v>92</v>
      </c>
      <c r="U6" s="54" t="s">
        <v>91</v>
      </c>
      <c r="V6" s="9">
        <v>1.7</v>
      </c>
      <c r="W6" s="55">
        <v>0</v>
      </c>
      <c r="Y6" s="68">
        <v>43008</v>
      </c>
      <c r="Z6" s="55">
        <v>2.2599999999999998</v>
      </c>
      <c r="AB6" s="61" t="s">
        <v>1168</v>
      </c>
      <c r="AC6" s="69">
        <v>1.8</v>
      </c>
      <c r="AE6" s="57" t="s">
        <v>303</v>
      </c>
      <c r="AF6" s="59">
        <f>ROUND(0.05*1443,0)</f>
        <v>72</v>
      </c>
      <c r="AG6" s="60">
        <f>ROUND(0.022*3383,0)</f>
        <v>74</v>
      </c>
      <c r="AI6" s="85" t="s">
        <v>1201</v>
      </c>
      <c r="AJ6" s="71">
        <v>0.63300000000000001</v>
      </c>
      <c r="AL6" s="42">
        <v>43219</v>
      </c>
      <c r="AM6" s="73">
        <v>2.14</v>
      </c>
      <c r="AN6" s="292"/>
      <c r="AO6" s="42">
        <v>43219</v>
      </c>
      <c r="AP6" s="62">
        <v>259</v>
      </c>
      <c r="AQ6" s="292"/>
      <c r="AR6" s="61" t="s">
        <v>482</v>
      </c>
      <c r="AS6" s="62">
        <v>2.2093557921180036</v>
      </c>
      <c r="AU6" s="61">
        <f t="shared" si="3"/>
        <v>5</v>
      </c>
      <c r="AV6" s="62">
        <v>37</v>
      </c>
      <c r="AX6" s="75">
        <v>7.7083333333333337E-2</v>
      </c>
    </row>
    <row r="7" spans="1:50" ht="13.5" thickBot="1">
      <c r="A7" s="326">
        <v>43281</v>
      </c>
      <c r="B7" s="43">
        <f t="shared" si="2"/>
        <v>3.6</v>
      </c>
      <c r="C7" s="292"/>
      <c r="D7" s="46">
        <v>18</v>
      </c>
      <c r="E7" s="40">
        <f t="shared" si="0"/>
        <v>4.9729999999999999</v>
      </c>
      <c r="F7" s="47">
        <v>4973</v>
      </c>
      <c r="H7" s="54" t="s">
        <v>1222</v>
      </c>
      <c r="I7" s="119">
        <v>10641</v>
      </c>
      <c r="J7" s="292"/>
      <c r="K7" s="52">
        <v>79</v>
      </c>
      <c r="M7" s="54" t="s">
        <v>105</v>
      </c>
      <c r="N7" s="39">
        <f t="shared" si="1"/>
        <v>1.1695906432748537</v>
      </c>
      <c r="O7" s="9">
        <v>2</v>
      </c>
      <c r="P7" s="55">
        <v>1710</v>
      </c>
      <c r="Q7" s="20"/>
      <c r="R7" s="61" t="s">
        <v>63</v>
      </c>
      <c r="S7" s="62">
        <v>80</v>
      </c>
      <c r="U7" s="54" t="s">
        <v>92</v>
      </c>
      <c r="V7" s="9">
        <v>1.6</v>
      </c>
      <c r="W7" s="55">
        <v>0</v>
      </c>
      <c r="Y7" s="68">
        <v>43039</v>
      </c>
      <c r="Z7" s="55">
        <v>2.61</v>
      </c>
      <c r="AB7" s="61" t="s">
        <v>1169</v>
      </c>
      <c r="AC7" s="69">
        <v>1.2</v>
      </c>
      <c r="AI7" s="54" t="s">
        <v>1202</v>
      </c>
      <c r="AJ7" s="71">
        <v>0.55100000000000005</v>
      </c>
      <c r="AL7" s="42">
        <v>43250</v>
      </c>
      <c r="AM7" s="73">
        <v>2.35</v>
      </c>
      <c r="AN7" s="292"/>
      <c r="AO7" s="42">
        <v>43250</v>
      </c>
      <c r="AP7" s="62">
        <v>241</v>
      </c>
      <c r="AQ7" s="292"/>
      <c r="AR7" s="61" t="s">
        <v>483</v>
      </c>
      <c r="AS7" s="62">
        <v>3.5814604264742229</v>
      </c>
      <c r="AU7" s="61">
        <f t="shared" si="3"/>
        <v>6</v>
      </c>
      <c r="AV7" s="62">
        <v>55</v>
      </c>
      <c r="AX7" s="75">
        <v>1.9444444444444445E-2</v>
      </c>
    </row>
    <row r="8" spans="1:50">
      <c r="A8" s="326">
        <v>43311</v>
      </c>
      <c r="B8" s="43">
        <f t="shared" si="2"/>
        <v>7.6</v>
      </c>
      <c r="C8" s="292"/>
      <c r="D8" s="48">
        <v>44</v>
      </c>
      <c r="E8" s="40">
        <f t="shared" si="0"/>
        <v>5.7619999999999996</v>
      </c>
      <c r="F8" s="47">
        <v>5762</v>
      </c>
      <c r="H8" s="54" t="s">
        <v>1222</v>
      </c>
      <c r="I8" s="119">
        <v>6990</v>
      </c>
      <c r="J8" s="292"/>
      <c r="K8" s="52">
        <v>77</v>
      </c>
      <c r="M8" s="54" t="s">
        <v>106</v>
      </c>
      <c r="N8" s="39">
        <f t="shared" si="1"/>
        <v>1.6137708445400754</v>
      </c>
      <c r="O8" s="9">
        <v>3</v>
      </c>
      <c r="P8" s="55">
        <v>1859</v>
      </c>
      <c r="Q8" s="20"/>
      <c r="R8" s="61" t="s">
        <v>63</v>
      </c>
      <c r="S8" s="62">
        <v>94</v>
      </c>
      <c r="U8" s="54" t="s">
        <v>93</v>
      </c>
      <c r="V8" s="9">
        <v>1.8</v>
      </c>
      <c r="W8" s="55">
        <v>0</v>
      </c>
      <c r="Y8" s="68">
        <v>43069</v>
      </c>
      <c r="Z8" s="55">
        <v>2.52</v>
      </c>
      <c r="AB8" s="61" t="s">
        <v>1170</v>
      </c>
      <c r="AC8" s="69">
        <v>1.3</v>
      </c>
      <c r="AE8" s="116" t="s">
        <v>304</v>
      </c>
      <c r="AF8" s="109"/>
      <c r="AI8" s="85" t="s">
        <v>1203</v>
      </c>
      <c r="AJ8" s="71">
        <v>0.58799999999999997</v>
      </c>
      <c r="AL8" s="42">
        <v>43280</v>
      </c>
      <c r="AM8" s="73">
        <v>2.2000000000000002</v>
      </c>
      <c r="AN8" s="292"/>
      <c r="AO8" s="42">
        <v>43280</v>
      </c>
      <c r="AP8" s="62">
        <v>177</v>
      </c>
      <c r="AQ8" s="292"/>
      <c r="AR8" s="61" t="s">
        <v>484</v>
      </c>
      <c r="AS8" s="62">
        <v>3.1010346295515774</v>
      </c>
      <c r="AU8" s="61">
        <f t="shared" si="3"/>
        <v>7</v>
      </c>
      <c r="AV8" s="62">
        <v>37</v>
      </c>
      <c r="AX8" s="75">
        <v>6.25E-2</v>
      </c>
    </row>
    <row r="9" spans="1:50" ht="13.5" thickBot="1">
      <c r="A9" s="326">
        <v>43342</v>
      </c>
      <c r="B9" s="43">
        <f t="shared" si="2"/>
        <v>7.7</v>
      </c>
      <c r="C9" s="292"/>
      <c r="D9" s="46">
        <v>42</v>
      </c>
      <c r="E9" s="40">
        <f t="shared" si="0"/>
        <v>5.4409999999999998</v>
      </c>
      <c r="F9" s="47">
        <v>5441</v>
      </c>
      <c r="H9" s="54" t="s">
        <v>1222</v>
      </c>
      <c r="I9" s="119">
        <v>15578</v>
      </c>
      <c r="J9" s="292"/>
      <c r="K9" s="52">
        <v>86</v>
      </c>
      <c r="M9" s="54" t="s">
        <v>104</v>
      </c>
      <c r="N9" s="39">
        <f t="shared" si="1"/>
        <v>0.42881646655231559</v>
      </c>
      <c r="O9" s="9">
        <v>1</v>
      </c>
      <c r="P9" s="55">
        <v>2332</v>
      </c>
      <c r="Q9" s="20"/>
      <c r="R9" s="61" t="s">
        <v>66</v>
      </c>
      <c r="S9" s="62">
        <v>78</v>
      </c>
      <c r="U9" s="57" t="s">
        <v>94</v>
      </c>
      <c r="V9" s="59">
        <v>1.6</v>
      </c>
      <c r="W9" s="60">
        <v>0</v>
      </c>
      <c r="Y9" s="68">
        <v>43100</v>
      </c>
      <c r="Z9" s="55">
        <v>2.77</v>
      </c>
      <c r="AB9" s="61" t="s">
        <v>1171</v>
      </c>
      <c r="AC9" s="69">
        <v>0.7</v>
      </c>
      <c r="AE9" s="117" t="s">
        <v>305</v>
      </c>
      <c r="AF9" s="112"/>
      <c r="AI9" s="54" t="s">
        <v>1204</v>
      </c>
      <c r="AJ9" s="71">
        <v>0.58899999999999997</v>
      </c>
      <c r="AL9" s="42">
        <v>43311</v>
      </c>
      <c r="AM9" s="73">
        <v>1.81</v>
      </c>
      <c r="AN9" s="292"/>
      <c r="AO9" s="42">
        <v>43311</v>
      </c>
      <c r="AP9" s="62">
        <v>186</v>
      </c>
      <c r="AQ9" s="292"/>
      <c r="AR9" s="61" t="s">
        <v>485</v>
      </c>
      <c r="AS9" s="62">
        <v>3.5747699560743058</v>
      </c>
      <c r="AU9" s="61">
        <f t="shared" si="3"/>
        <v>8</v>
      </c>
      <c r="AV9" s="62">
        <v>20</v>
      </c>
      <c r="AX9" s="75">
        <v>7.7083333333333337E-2</v>
      </c>
    </row>
    <row r="10" spans="1:50" ht="13.5" thickBot="1">
      <c r="A10" s="326">
        <v>43373</v>
      </c>
      <c r="B10" s="43">
        <f t="shared" si="2"/>
        <v>5.6</v>
      </c>
      <c r="C10" s="292"/>
      <c r="D10" s="46">
        <v>33</v>
      </c>
      <c r="E10" s="40">
        <f t="shared" si="0"/>
        <v>5.8929999999999998</v>
      </c>
      <c r="F10" s="47">
        <v>5893</v>
      </c>
      <c r="H10" s="54" t="s">
        <v>1222</v>
      </c>
      <c r="I10" s="119">
        <v>9087</v>
      </c>
      <c r="J10" s="292"/>
      <c r="K10" s="52">
        <v>82</v>
      </c>
      <c r="M10" s="54" t="s">
        <v>15</v>
      </c>
      <c r="N10" s="39">
        <f t="shared" si="1"/>
        <v>1.2077294685990339</v>
      </c>
      <c r="O10" s="9">
        <v>1</v>
      </c>
      <c r="P10" s="55">
        <v>828</v>
      </c>
      <c r="Q10" s="20"/>
      <c r="R10" s="61" t="s">
        <v>67</v>
      </c>
      <c r="S10" s="62">
        <v>83</v>
      </c>
      <c r="Y10" s="68">
        <v>43131</v>
      </c>
      <c r="Z10" s="55">
        <v>2.62</v>
      </c>
      <c r="AB10" s="61" t="s">
        <v>1172</v>
      </c>
      <c r="AC10" s="69">
        <v>1.4</v>
      </c>
      <c r="AE10" s="117" t="s">
        <v>306</v>
      </c>
      <c r="AF10" s="112"/>
      <c r="AI10" s="85" t="s">
        <v>1205</v>
      </c>
      <c r="AJ10" s="71">
        <v>0.69799999999999995</v>
      </c>
      <c r="AL10" s="42">
        <v>43342</v>
      </c>
      <c r="AM10" s="73">
        <v>2.99</v>
      </c>
      <c r="AN10" s="292"/>
      <c r="AO10" s="42">
        <v>43342</v>
      </c>
      <c r="AP10" s="62">
        <v>318</v>
      </c>
      <c r="AQ10" s="292"/>
      <c r="AR10" s="61" t="s">
        <v>486</v>
      </c>
      <c r="AS10" s="62">
        <v>3.9566269909555558</v>
      </c>
      <c r="AU10" s="61">
        <f t="shared" si="3"/>
        <v>9</v>
      </c>
      <c r="AV10" s="62">
        <v>37</v>
      </c>
      <c r="AX10" s="75">
        <v>4.9305555555555554E-2</v>
      </c>
    </row>
    <row r="11" spans="1:50" ht="13.5" thickBot="1">
      <c r="A11" s="326">
        <v>43403</v>
      </c>
      <c r="B11" s="43">
        <f t="shared" si="2"/>
        <v>5.7</v>
      </c>
      <c r="C11" s="292"/>
      <c r="D11" s="48">
        <v>33</v>
      </c>
      <c r="E11" s="40">
        <f t="shared" si="0"/>
        <v>5.7430000000000003</v>
      </c>
      <c r="F11" s="47">
        <v>5743</v>
      </c>
      <c r="H11" s="54" t="s">
        <v>1222</v>
      </c>
      <c r="I11" s="119">
        <v>10455</v>
      </c>
      <c r="J11" s="292"/>
      <c r="K11" s="52">
        <v>74</v>
      </c>
      <c r="M11" s="54" t="s">
        <v>17</v>
      </c>
      <c r="N11" s="39">
        <f t="shared" si="1"/>
        <v>0</v>
      </c>
      <c r="O11" s="9">
        <v>0</v>
      </c>
      <c r="P11" s="55">
        <v>757</v>
      </c>
      <c r="Q11" s="20"/>
      <c r="R11" s="61" t="s">
        <v>68</v>
      </c>
      <c r="S11" s="62">
        <v>84</v>
      </c>
      <c r="U11" s="107" t="s">
        <v>74</v>
      </c>
      <c r="V11" s="108"/>
      <c r="W11" s="108"/>
      <c r="X11" s="109"/>
      <c r="Y11" s="68">
        <v>43159</v>
      </c>
      <c r="Z11" s="55">
        <v>2</v>
      </c>
      <c r="AB11" s="61" t="s">
        <v>1173</v>
      </c>
      <c r="AC11" s="69">
        <v>1.3</v>
      </c>
      <c r="AE11" s="118">
        <v>40360</v>
      </c>
      <c r="AF11" s="115"/>
      <c r="AI11" s="54" t="s">
        <v>1206</v>
      </c>
      <c r="AJ11" s="71">
        <v>0.59699999999999998</v>
      </c>
      <c r="AL11" s="42">
        <v>43372</v>
      </c>
      <c r="AM11" s="73">
        <v>1.86</v>
      </c>
      <c r="AN11" s="292"/>
      <c r="AO11" s="42">
        <v>43372</v>
      </c>
      <c r="AP11" s="62">
        <v>195</v>
      </c>
      <c r="AQ11" s="292"/>
      <c r="AR11" s="61" t="s">
        <v>487</v>
      </c>
      <c r="AS11" s="62">
        <v>2.6717178873950616</v>
      </c>
      <c r="AU11" s="61">
        <f t="shared" si="3"/>
        <v>10</v>
      </c>
      <c r="AV11" s="62">
        <v>29</v>
      </c>
      <c r="AX11" s="75">
        <v>8.0555555555555561E-2</v>
      </c>
    </row>
    <row r="12" spans="1:50">
      <c r="A12" s="326">
        <v>43434</v>
      </c>
      <c r="B12" s="43">
        <f t="shared" si="2"/>
        <v>7</v>
      </c>
      <c r="C12" s="292"/>
      <c r="D12" s="46">
        <v>33</v>
      </c>
      <c r="E12" s="40">
        <f t="shared" si="0"/>
        <v>4.7469999999999999</v>
      </c>
      <c r="F12" s="47">
        <v>4747</v>
      </c>
      <c r="H12" s="54" t="s">
        <v>1222</v>
      </c>
      <c r="I12" s="119">
        <v>8475</v>
      </c>
      <c r="J12" s="292"/>
      <c r="K12" s="52">
        <v>85</v>
      </c>
      <c r="M12" s="54" t="s">
        <v>19</v>
      </c>
      <c r="N12" s="39">
        <f t="shared" si="1"/>
        <v>1.079913606911447</v>
      </c>
      <c r="O12" s="9">
        <v>1</v>
      </c>
      <c r="P12" s="55">
        <v>926</v>
      </c>
      <c r="Q12" s="20"/>
      <c r="R12" s="61" t="s">
        <v>69</v>
      </c>
      <c r="S12" s="62">
        <v>92</v>
      </c>
      <c r="U12" s="110" t="s">
        <v>76</v>
      </c>
      <c r="V12" s="111"/>
      <c r="W12" s="111"/>
      <c r="X12" s="112"/>
      <c r="Y12" s="68">
        <v>43190</v>
      </c>
      <c r="Z12" s="55">
        <v>1.68</v>
      </c>
      <c r="AB12" s="61" t="s">
        <v>1174</v>
      </c>
      <c r="AC12" s="69">
        <v>0.8</v>
      </c>
      <c r="AI12" s="85" t="s">
        <v>1207</v>
      </c>
      <c r="AJ12" s="71">
        <v>0.64200000000000002</v>
      </c>
      <c r="AL12" s="42">
        <v>43403</v>
      </c>
      <c r="AM12" s="73">
        <v>2.41</v>
      </c>
      <c r="AN12" s="292"/>
      <c r="AO12" s="42">
        <v>43403</v>
      </c>
      <c r="AP12" s="62">
        <v>220</v>
      </c>
      <c r="AQ12" s="292"/>
      <c r="AR12" s="61" t="s">
        <v>488</v>
      </c>
      <c r="AS12" s="62">
        <v>2.0261858329176903</v>
      </c>
      <c r="AU12" s="61">
        <f t="shared" si="3"/>
        <v>11</v>
      </c>
      <c r="AV12" s="62">
        <v>33</v>
      </c>
      <c r="AX12" s="75">
        <v>5.7638888888888885E-2</v>
      </c>
    </row>
    <row r="13" spans="1:50" ht="13.5" thickBot="1">
      <c r="A13" s="326">
        <v>43464</v>
      </c>
      <c r="B13" s="43">
        <f t="shared" si="2"/>
        <v>5.3</v>
      </c>
      <c r="C13" s="292"/>
      <c r="D13" s="46">
        <v>27</v>
      </c>
      <c r="E13" s="40">
        <f t="shared" si="0"/>
        <v>5.1180000000000003</v>
      </c>
      <c r="F13" s="47">
        <v>5118</v>
      </c>
      <c r="H13" s="54" t="s">
        <v>1222</v>
      </c>
      <c r="I13" s="119">
        <v>8374</v>
      </c>
      <c r="J13" s="292"/>
      <c r="K13" s="52">
        <v>74</v>
      </c>
      <c r="M13" s="54" t="s">
        <v>21</v>
      </c>
      <c r="N13" s="39">
        <f t="shared" si="1"/>
        <v>0</v>
      </c>
      <c r="O13" s="9">
        <v>0</v>
      </c>
      <c r="P13" s="55">
        <v>895</v>
      </c>
      <c r="Q13" s="20"/>
      <c r="R13" s="63" t="s">
        <v>70</v>
      </c>
      <c r="S13" s="64">
        <v>84</v>
      </c>
      <c r="U13" s="113" t="s">
        <v>95</v>
      </c>
      <c r="V13" s="114"/>
      <c r="W13" s="114"/>
      <c r="X13" s="115"/>
      <c r="Y13" s="68">
        <v>43220</v>
      </c>
      <c r="Z13" s="55">
        <v>1.98</v>
      </c>
      <c r="AB13" s="61" t="s">
        <v>1175</v>
      </c>
      <c r="AC13" s="69">
        <v>1.2</v>
      </c>
      <c r="AI13" s="54" t="s">
        <v>1208</v>
      </c>
      <c r="AJ13" s="71">
        <v>0.67900000000000005</v>
      </c>
      <c r="AL13" s="42">
        <v>43433</v>
      </c>
      <c r="AM13" s="73">
        <v>2.08</v>
      </c>
      <c r="AN13" s="292"/>
      <c r="AO13" s="42">
        <v>43433</v>
      </c>
      <c r="AP13" s="62">
        <v>227</v>
      </c>
      <c r="AQ13" s="292"/>
      <c r="AR13" s="61" t="s">
        <v>489</v>
      </c>
      <c r="AS13" s="62">
        <v>4.0876669875869993</v>
      </c>
      <c r="AU13" s="61">
        <f t="shared" si="3"/>
        <v>12</v>
      </c>
      <c r="AV13" s="62">
        <v>33</v>
      </c>
      <c r="AX13" s="75">
        <v>3.7499999999999999E-2</v>
      </c>
    </row>
    <row r="14" spans="1:50" ht="13.5" thickBot="1">
      <c r="A14" s="326">
        <v>43495</v>
      </c>
      <c r="B14" s="43">
        <f t="shared" si="2"/>
        <v>7.5</v>
      </c>
      <c r="C14" s="292"/>
      <c r="D14" s="48">
        <v>42</v>
      </c>
      <c r="E14" s="40">
        <f t="shared" si="0"/>
        <v>5.609</v>
      </c>
      <c r="F14" s="47">
        <v>5609</v>
      </c>
      <c r="H14" s="54" t="s">
        <v>1222</v>
      </c>
      <c r="I14" s="119">
        <v>13185</v>
      </c>
      <c r="J14" s="292"/>
      <c r="K14" s="52">
        <v>78</v>
      </c>
      <c r="M14" s="54" t="s">
        <v>23</v>
      </c>
      <c r="N14" s="39">
        <f t="shared" si="1"/>
        <v>0</v>
      </c>
      <c r="O14" s="9">
        <v>0</v>
      </c>
      <c r="P14" s="55">
        <v>799</v>
      </c>
      <c r="Q14" s="20"/>
      <c r="Y14" s="68">
        <v>43251</v>
      </c>
      <c r="Z14" s="55">
        <v>2.4300000000000002</v>
      </c>
      <c r="AB14" s="61" t="s">
        <v>1176</v>
      </c>
      <c r="AC14" s="69">
        <v>0.6</v>
      </c>
      <c r="AI14" s="85" t="s">
        <v>1160</v>
      </c>
      <c r="AJ14" s="71">
        <v>0.71900000000000008</v>
      </c>
      <c r="AL14" s="42">
        <v>43464</v>
      </c>
      <c r="AM14" s="73">
        <v>1.85</v>
      </c>
      <c r="AN14" s="292"/>
      <c r="AO14" s="42">
        <v>43464</v>
      </c>
      <c r="AP14" s="62">
        <v>416</v>
      </c>
      <c r="AQ14" s="292"/>
      <c r="AR14" s="61" t="s">
        <v>490</v>
      </c>
      <c r="AS14" s="62">
        <v>1.4596615831833333</v>
      </c>
      <c r="AU14" s="61">
        <f t="shared" si="3"/>
        <v>13</v>
      </c>
      <c r="AV14" s="62">
        <v>6</v>
      </c>
      <c r="AX14" s="75">
        <v>0.11805555555555557</v>
      </c>
    </row>
    <row r="15" spans="1:50" ht="12" customHeight="1" thickBot="1">
      <c r="A15" s="326">
        <v>43526</v>
      </c>
      <c r="B15" s="43">
        <f t="shared" si="2"/>
        <v>7.2</v>
      </c>
      <c r="C15" s="292"/>
      <c r="D15" s="46">
        <v>41</v>
      </c>
      <c r="E15" s="40">
        <f t="shared" si="0"/>
        <v>5.7220000000000004</v>
      </c>
      <c r="F15" s="47">
        <v>5722</v>
      </c>
      <c r="H15" s="54" t="s">
        <v>1222</v>
      </c>
      <c r="I15" s="119">
        <v>8277</v>
      </c>
      <c r="J15" s="292"/>
      <c r="K15" s="52">
        <v>83</v>
      </c>
      <c r="M15" s="54" t="s">
        <v>25</v>
      </c>
      <c r="N15" s="39">
        <f t="shared" si="1"/>
        <v>0.92165898617511521</v>
      </c>
      <c r="O15" s="9">
        <v>1</v>
      </c>
      <c r="P15" s="55">
        <v>1085</v>
      </c>
      <c r="Q15" s="20"/>
      <c r="R15" s="97"/>
      <c r="S15" s="98" t="s">
        <v>350</v>
      </c>
      <c r="Y15" s="68">
        <v>43281</v>
      </c>
      <c r="Z15" s="55">
        <v>1.72</v>
      </c>
      <c r="AB15" s="61" t="s">
        <v>1177</v>
      </c>
      <c r="AC15" s="69">
        <v>0.6</v>
      </c>
      <c r="AI15" s="54" t="s">
        <v>1161</v>
      </c>
      <c r="AJ15" s="71">
        <v>0.77599999999999991</v>
      </c>
      <c r="AL15" s="42">
        <v>43495</v>
      </c>
      <c r="AM15" s="73">
        <v>2.1</v>
      </c>
      <c r="AN15" s="292"/>
      <c r="AO15" s="42">
        <v>43495</v>
      </c>
      <c r="AP15" s="62">
        <v>504</v>
      </c>
      <c r="AQ15" s="292"/>
      <c r="AR15" s="61" t="s">
        <v>491</v>
      </c>
      <c r="AS15" s="62">
        <v>3.0588227067055413</v>
      </c>
      <c r="AU15" s="61">
        <f t="shared" si="3"/>
        <v>14</v>
      </c>
      <c r="AV15" s="62">
        <v>100</v>
      </c>
      <c r="AX15" s="75">
        <v>3.9583333333333331E-2</v>
      </c>
    </row>
    <row r="16" spans="1:50">
      <c r="A16" s="326">
        <v>43554</v>
      </c>
      <c r="B16" s="43">
        <f t="shared" si="2"/>
        <v>4.5999999999999996</v>
      </c>
      <c r="C16" s="292"/>
      <c r="D16" s="46">
        <v>24</v>
      </c>
      <c r="E16" s="40">
        <f t="shared" si="0"/>
        <v>5.2610000000000001</v>
      </c>
      <c r="F16" s="47">
        <v>5261</v>
      </c>
      <c r="H16" s="54" t="s">
        <v>1222</v>
      </c>
      <c r="I16" s="119">
        <v>8798</v>
      </c>
      <c r="J16" s="292"/>
      <c r="K16" s="52">
        <v>81</v>
      </c>
      <c r="M16" s="56" t="s">
        <v>1194</v>
      </c>
      <c r="N16" s="39">
        <f t="shared" si="1"/>
        <v>1.8779342723004695</v>
      </c>
      <c r="O16" s="9">
        <v>2</v>
      </c>
      <c r="P16" s="55">
        <v>1065</v>
      </c>
      <c r="Q16" s="20"/>
      <c r="R16" s="81">
        <v>2014</v>
      </c>
      <c r="S16" s="88">
        <v>84.8</v>
      </c>
      <c r="Y16" s="68">
        <v>43312</v>
      </c>
      <c r="Z16" s="55">
        <v>1.46</v>
      </c>
      <c r="AB16" s="61" t="s">
        <v>1178</v>
      </c>
      <c r="AC16" s="69">
        <v>1.4</v>
      </c>
      <c r="AI16" s="85" t="s">
        <v>1162</v>
      </c>
      <c r="AJ16" s="71">
        <v>0.74099999999999999</v>
      </c>
      <c r="AL16" s="42">
        <v>43523</v>
      </c>
      <c r="AM16" s="73">
        <v>2.57</v>
      </c>
      <c r="AN16" s="292"/>
      <c r="AO16" s="42">
        <v>43523</v>
      </c>
      <c r="AP16" s="62">
        <v>397</v>
      </c>
      <c r="AQ16" s="292"/>
      <c r="AR16" s="61" t="s">
        <v>492</v>
      </c>
      <c r="AS16" s="62">
        <v>3.4084495230927132</v>
      </c>
      <c r="AU16" s="61">
        <f t="shared" si="3"/>
        <v>15</v>
      </c>
      <c r="AV16" s="62">
        <v>98</v>
      </c>
      <c r="AX16" s="75">
        <v>9.5833333333333326E-2</v>
      </c>
    </row>
    <row r="17" spans="1:50" ht="13.5" thickBot="1">
      <c r="A17" s="326">
        <v>43585</v>
      </c>
      <c r="B17" s="43">
        <f t="shared" si="2"/>
        <v>3.6</v>
      </c>
      <c r="C17" s="292"/>
      <c r="D17" s="46">
        <v>22</v>
      </c>
      <c r="E17" s="40">
        <f t="shared" si="0"/>
        <v>6.0709999999999997</v>
      </c>
      <c r="F17" s="47">
        <v>6071</v>
      </c>
      <c r="H17" s="54"/>
      <c r="I17" s="119"/>
      <c r="J17" s="292"/>
      <c r="K17" s="52">
        <v>81</v>
      </c>
      <c r="M17" s="54" t="s">
        <v>13</v>
      </c>
      <c r="N17" s="39">
        <f t="shared" si="1"/>
        <v>1.2919896640826873</v>
      </c>
      <c r="O17" s="9">
        <v>1</v>
      </c>
      <c r="P17" s="55">
        <v>774</v>
      </c>
      <c r="Q17" s="20"/>
      <c r="R17" s="46">
        <v>2015</v>
      </c>
      <c r="S17" s="55">
        <v>85.3</v>
      </c>
      <c r="Y17" s="68">
        <v>43343</v>
      </c>
      <c r="Z17" s="55">
        <v>1.95</v>
      </c>
      <c r="AB17" s="61" t="s">
        <v>1179</v>
      </c>
      <c r="AC17" s="69">
        <v>2.1</v>
      </c>
      <c r="AI17" s="57" t="s">
        <v>1163</v>
      </c>
      <c r="AJ17" s="72">
        <v>0.80400000000000005</v>
      </c>
      <c r="AL17" s="42">
        <v>43554</v>
      </c>
      <c r="AM17" s="73">
        <v>1.86</v>
      </c>
      <c r="AN17" s="292"/>
      <c r="AO17" s="42">
        <v>43554</v>
      </c>
      <c r="AP17" s="62">
        <v>286</v>
      </c>
      <c r="AQ17" s="292"/>
      <c r="AR17" s="61" t="s">
        <v>493</v>
      </c>
      <c r="AS17" s="62">
        <v>1.5477325026295148</v>
      </c>
      <c r="AU17" s="61">
        <f t="shared" si="3"/>
        <v>16</v>
      </c>
      <c r="AV17" s="62">
        <v>20</v>
      </c>
      <c r="AX17" s="75">
        <v>6.25E-2</v>
      </c>
    </row>
    <row r="18" spans="1:50">
      <c r="A18" s="326">
        <v>43615</v>
      </c>
      <c r="B18" s="43">
        <f t="shared" si="2"/>
        <v>8.1999999999999993</v>
      </c>
      <c r="C18" s="292"/>
      <c r="D18" s="46">
        <v>50</v>
      </c>
      <c r="E18" s="40">
        <f t="shared" si="0"/>
        <v>6.0720000000000001</v>
      </c>
      <c r="F18" s="47">
        <v>6072</v>
      </c>
      <c r="H18" s="54" t="s">
        <v>1223</v>
      </c>
      <c r="I18" s="119">
        <v>7002</v>
      </c>
      <c r="J18" s="292"/>
      <c r="K18" s="52">
        <v>74</v>
      </c>
      <c r="M18" s="54" t="s">
        <v>16</v>
      </c>
      <c r="N18" s="39">
        <f t="shared" si="1"/>
        <v>1.0729613733905579</v>
      </c>
      <c r="O18" s="9">
        <v>1</v>
      </c>
      <c r="P18" s="55">
        <v>932</v>
      </c>
      <c r="Q18" s="20"/>
      <c r="R18" s="81">
        <v>2016</v>
      </c>
      <c r="S18" s="55">
        <v>85.5</v>
      </c>
      <c r="Y18" s="68">
        <v>43373</v>
      </c>
      <c r="Z18" s="55">
        <v>2.5299999999999998</v>
      </c>
      <c r="AB18" s="61" t="s">
        <v>1180</v>
      </c>
      <c r="AC18" s="69">
        <v>0.3</v>
      </c>
      <c r="AL18" s="42">
        <v>43584</v>
      </c>
      <c r="AM18" s="73">
        <v>0.73</v>
      </c>
      <c r="AN18" s="292"/>
      <c r="AO18" s="42">
        <v>43584</v>
      </c>
      <c r="AP18" s="62">
        <v>203</v>
      </c>
      <c r="AQ18" s="292"/>
      <c r="AR18" s="61" t="s">
        <v>494</v>
      </c>
      <c r="AS18" s="62">
        <v>3.607568608756992</v>
      </c>
      <c r="AU18" s="61">
        <f t="shared" si="3"/>
        <v>17</v>
      </c>
      <c r="AV18" s="62">
        <v>73</v>
      </c>
      <c r="AX18" s="75">
        <v>5.6944444444444443E-2</v>
      </c>
    </row>
    <row r="19" spans="1:50">
      <c r="A19" s="326">
        <v>43646</v>
      </c>
      <c r="B19" s="43">
        <f t="shared" si="2"/>
        <v>9.6</v>
      </c>
      <c r="C19" s="292"/>
      <c r="D19" s="46">
        <v>51</v>
      </c>
      <c r="E19" s="40">
        <f t="shared" si="0"/>
        <v>5.335</v>
      </c>
      <c r="F19" s="47">
        <v>5335</v>
      </c>
      <c r="H19" s="54" t="s">
        <v>1223</v>
      </c>
      <c r="I19" s="119">
        <v>6464</v>
      </c>
      <c r="J19" s="292"/>
      <c r="K19" s="52">
        <v>84</v>
      </c>
      <c r="M19" s="54" t="s">
        <v>18</v>
      </c>
      <c r="N19" s="39">
        <f t="shared" si="1"/>
        <v>2.574002574002574</v>
      </c>
      <c r="O19" s="9">
        <v>2</v>
      </c>
      <c r="P19" s="55">
        <v>777</v>
      </c>
      <c r="Q19" s="20"/>
      <c r="R19" s="46">
        <v>2017</v>
      </c>
      <c r="S19" s="55">
        <v>87</v>
      </c>
      <c r="Y19" s="68">
        <v>43404</v>
      </c>
      <c r="Z19" s="55">
        <v>2.27</v>
      </c>
      <c r="AB19" s="61" t="s">
        <v>1181</v>
      </c>
      <c r="AC19" s="69">
        <v>2.4</v>
      </c>
      <c r="AL19" s="42">
        <v>43615</v>
      </c>
      <c r="AM19" s="73">
        <v>0.59</v>
      </c>
      <c r="AN19" s="292"/>
      <c r="AO19" s="42">
        <v>43615</v>
      </c>
      <c r="AP19" s="62">
        <v>249</v>
      </c>
      <c r="AQ19" s="292"/>
      <c r="AR19" s="61" t="s">
        <v>495</v>
      </c>
      <c r="AS19" s="62">
        <v>2.9725719135312829</v>
      </c>
      <c r="AU19" s="61">
        <f t="shared" si="3"/>
        <v>18</v>
      </c>
      <c r="AV19" s="62">
        <v>14</v>
      </c>
      <c r="AX19" s="75">
        <v>0.1013888888888889</v>
      </c>
    </row>
    <row r="20" spans="1:50">
      <c r="A20" s="326">
        <v>43676</v>
      </c>
      <c r="B20" s="43">
        <f t="shared" si="2"/>
        <v>6</v>
      </c>
      <c r="C20" s="292"/>
      <c r="D20" s="46">
        <v>39</v>
      </c>
      <c r="E20" s="40">
        <f t="shared" si="0"/>
        <v>6.4829999999999997</v>
      </c>
      <c r="F20" s="47">
        <v>6483</v>
      </c>
      <c r="H20" s="54" t="s">
        <v>1223</v>
      </c>
      <c r="I20" s="119">
        <v>7880</v>
      </c>
      <c r="J20" s="292"/>
      <c r="K20" s="52">
        <v>78</v>
      </c>
      <c r="M20" s="54" t="s">
        <v>20</v>
      </c>
      <c r="N20" s="39">
        <f t="shared" si="1"/>
        <v>0</v>
      </c>
      <c r="O20" s="9">
        <v>0</v>
      </c>
      <c r="P20" s="55">
        <v>930</v>
      </c>
      <c r="Q20" s="20"/>
      <c r="R20" s="81">
        <v>2018</v>
      </c>
      <c r="S20" s="55">
        <v>87</v>
      </c>
      <c r="Y20" s="68">
        <v>43434</v>
      </c>
      <c r="Z20" s="55">
        <v>2.74</v>
      </c>
      <c r="AB20" s="61" t="s">
        <v>1182</v>
      </c>
      <c r="AC20" s="69">
        <v>1.9</v>
      </c>
      <c r="AL20" s="42">
        <v>43645</v>
      </c>
      <c r="AM20" s="73">
        <v>1.28</v>
      </c>
      <c r="AN20" s="292"/>
      <c r="AO20" s="42">
        <v>43645</v>
      </c>
      <c r="AP20" s="62">
        <v>301</v>
      </c>
      <c r="AQ20" s="292"/>
      <c r="AR20" s="61" t="s">
        <v>496</v>
      </c>
      <c r="AS20" s="62">
        <v>2.3537903719698079</v>
      </c>
      <c r="AU20" s="61">
        <f t="shared" si="3"/>
        <v>19</v>
      </c>
      <c r="AV20" s="62">
        <v>50</v>
      </c>
      <c r="AX20" s="75">
        <v>6.458333333333334E-2</v>
      </c>
    </row>
    <row r="21" spans="1:50" ht="13.5" thickBot="1">
      <c r="A21" s="326">
        <v>43707</v>
      </c>
      <c r="B21" s="43">
        <f t="shared" si="2"/>
        <v>3.8</v>
      </c>
      <c r="C21" s="292"/>
      <c r="D21" s="46">
        <v>22</v>
      </c>
      <c r="E21" s="40">
        <f t="shared" si="0"/>
        <v>5.7519999999999998</v>
      </c>
      <c r="F21" s="47">
        <v>5752</v>
      </c>
      <c r="H21" s="54" t="s">
        <v>1223</v>
      </c>
      <c r="I21" s="119">
        <v>9488</v>
      </c>
      <c r="J21" s="292"/>
      <c r="K21" s="52">
        <v>75</v>
      </c>
      <c r="M21" s="54" t="s">
        <v>22</v>
      </c>
      <c r="N21" s="39">
        <f t="shared" si="1"/>
        <v>0</v>
      </c>
      <c r="O21" s="9">
        <v>0</v>
      </c>
      <c r="P21" s="55">
        <v>842</v>
      </c>
      <c r="Q21" s="20"/>
      <c r="R21" s="49">
        <v>2019</v>
      </c>
      <c r="S21" s="60">
        <v>87.3</v>
      </c>
      <c r="Y21" s="68">
        <v>43465</v>
      </c>
      <c r="Z21" s="55">
        <v>2.2200000000000002</v>
      </c>
      <c r="AB21" s="61" t="s">
        <v>1183</v>
      </c>
      <c r="AC21" s="69">
        <v>2</v>
      </c>
      <c r="AL21" s="42">
        <v>43676</v>
      </c>
      <c r="AM21" s="73">
        <v>1.41</v>
      </c>
      <c r="AN21" s="292"/>
      <c r="AO21" s="42">
        <v>43676</v>
      </c>
      <c r="AP21" s="62">
        <v>284</v>
      </c>
      <c r="AQ21" s="292"/>
      <c r="AR21" s="61" t="s">
        <v>497</v>
      </c>
      <c r="AS21" s="62">
        <v>3.2579156443971442</v>
      </c>
      <c r="AU21" s="61">
        <f t="shared" si="3"/>
        <v>20</v>
      </c>
      <c r="AV21" s="62">
        <v>25</v>
      </c>
      <c r="AX21" s="75">
        <v>4.3055555555555562E-2</v>
      </c>
    </row>
    <row r="22" spans="1:50" ht="13.5" thickBot="1">
      <c r="A22" s="326">
        <v>43738</v>
      </c>
      <c r="B22" s="43">
        <f t="shared" si="2"/>
        <v>5.4</v>
      </c>
      <c r="C22" s="292"/>
      <c r="D22" s="46">
        <v>31</v>
      </c>
      <c r="E22" s="40">
        <f t="shared" si="0"/>
        <v>5.7309999999999999</v>
      </c>
      <c r="F22" s="47">
        <v>5731</v>
      </c>
      <c r="H22" s="54" t="s">
        <v>1223</v>
      </c>
      <c r="I22" s="119">
        <v>8407</v>
      </c>
      <c r="J22" s="292"/>
      <c r="K22" s="52">
        <v>74</v>
      </c>
      <c r="M22" s="54" t="s">
        <v>15</v>
      </c>
      <c r="N22" s="39">
        <f t="shared" si="1"/>
        <v>0</v>
      </c>
      <c r="O22" s="9">
        <v>0</v>
      </c>
      <c r="P22" s="55">
        <v>750</v>
      </c>
      <c r="Q22" s="20"/>
      <c r="Y22" s="68">
        <v>43496</v>
      </c>
      <c r="Z22" s="55">
        <v>1.35</v>
      </c>
      <c r="AB22" s="61" t="s">
        <v>1184</v>
      </c>
      <c r="AC22" s="69">
        <v>1.1000000000000001</v>
      </c>
      <c r="AL22" s="42">
        <v>43707</v>
      </c>
      <c r="AM22" s="73">
        <v>2</v>
      </c>
      <c r="AN22" s="292"/>
      <c r="AO22" s="42">
        <v>43707</v>
      </c>
      <c r="AP22" s="62">
        <v>196</v>
      </c>
      <c r="AQ22" s="292"/>
      <c r="AR22" s="61" t="s">
        <v>498</v>
      </c>
      <c r="AS22" s="62">
        <v>3.4824664756597485</v>
      </c>
      <c r="AU22" s="61">
        <f t="shared" si="3"/>
        <v>21</v>
      </c>
      <c r="AV22" s="62">
        <v>40</v>
      </c>
      <c r="AX22" s="75">
        <v>2.6388888888888889E-2</v>
      </c>
    </row>
    <row r="23" spans="1:50" ht="13.5" thickBot="1">
      <c r="A23" s="326">
        <v>43768</v>
      </c>
      <c r="B23" s="43">
        <f t="shared" si="2"/>
        <v>6.6</v>
      </c>
      <c r="C23" s="292"/>
      <c r="D23" s="46">
        <v>33</v>
      </c>
      <c r="E23" s="40">
        <f t="shared" si="0"/>
        <v>5.0170000000000003</v>
      </c>
      <c r="F23" s="47">
        <v>5017</v>
      </c>
      <c r="H23" s="54" t="s">
        <v>1223</v>
      </c>
      <c r="I23" s="119">
        <v>6345</v>
      </c>
      <c r="J23" s="292"/>
      <c r="K23" s="52">
        <v>68</v>
      </c>
      <c r="M23" s="54" t="s">
        <v>17</v>
      </c>
      <c r="N23" s="39">
        <f t="shared" si="1"/>
        <v>2.2497187851518561</v>
      </c>
      <c r="O23" s="9">
        <v>2</v>
      </c>
      <c r="P23" s="55">
        <v>889</v>
      </c>
      <c r="Q23" s="20"/>
      <c r="R23" s="334" t="s">
        <v>171</v>
      </c>
      <c r="S23" s="335"/>
      <c r="T23" s="335"/>
      <c r="U23" s="336"/>
      <c r="Y23" s="68">
        <v>43524</v>
      </c>
      <c r="Z23" s="55">
        <v>1.67</v>
      </c>
      <c r="AB23" s="61" t="s">
        <v>1185</v>
      </c>
      <c r="AC23" s="69">
        <v>1.9</v>
      </c>
      <c r="AL23" s="42">
        <v>43737</v>
      </c>
      <c r="AM23" s="73">
        <v>1.1599999999999999</v>
      </c>
      <c r="AN23" s="292"/>
      <c r="AO23" s="42">
        <v>43737</v>
      </c>
      <c r="AP23" s="62">
        <v>112</v>
      </c>
      <c r="AQ23" s="292"/>
      <c r="AR23" s="61" t="s">
        <v>499</v>
      </c>
      <c r="AS23" s="62">
        <v>2.7221812009229325</v>
      </c>
      <c r="AU23" s="61">
        <f t="shared" si="3"/>
        <v>22</v>
      </c>
      <c r="AV23" s="62">
        <v>120</v>
      </c>
      <c r="AX23" s="75">
        <v>7.3611111111111113E-2</v>
      </c>
    </row>
    <row r="24" spans="1:50" ht="13.5" thickBot="1">
      <c r="A24" s="326">
        <v>43799</v>
      </c>
      <c r="B24" s="43">
        <f t="shared" si="2"/>
        <v>4.8</v>
      </c>
      <c r="C24" s="292"/>
      <c r="D24" s="46">
        <v>25</v>
      </c>
      <c r="E24" s="40">
        <f t="shared" si="0"/>
        <v>5.1580000000000004</v>
      </c>
      <c r="F24" s="47">
        <v>5158</v>
      </c>
      <c r="H24" s="54" t="s">
        <v>1223</v>
      </c>
      <c r="I24" s="119">
        <v>5886</v>
      </c>
      <c r="J24" s="292"/>
      <c r="K24" s="52">
        <v>81</v>
      </c>
      <c r="M24" s="54" t="s">
        <v>19</v>
      </c>
      <c r="N24" s="39">
        <f t="shared" si="1"/>
        <v>1.1210762331838564</v>
      </c>
      <c r="O24" s="9">
        <v>1</v>
      </c>
      <c r="P24" s="55">
        <v>892</v>
      </c>
      <c r="Q24" s="20"/>
      <c r="R24" s="104"/>
      <c r="S24" s="105" t="s">
        <v>1195</v>
      </c>
      <c r="T24" s="105" t="s">
        <v>1196</v>
      </c>
      <c r="U24" s="102" t="s">
        <v>1159</v>
      </c>
      <c r="Y24" s="68">
        <v>43555</v>
      </c>
      <c r="Z24" s="55">
        <v>1.59</v>
      </c>
      <c r="AB24" s="61" t="s">
        <v>1186</v>
      </c>
      <c r="AC24" s="69">
        <v>2.2999999999999998</v>
      </c>
      <c r="AL24" s="42">
        <v>43768</v>
      </c>
      <c r="AM24" s="73">
        <v>1.4</v>
      </c>
      <c r="AN24" s="292"/>
      <c r="AO24" s="42">
        <v>43768</v>
      </c>
      <c r="AP24" s="62">
        <v>119</v>
      </c>
      <c r="AQ24" s="292"/>
      <c r="AR24" s="61" t="s">
        <v>500</v>
      </c>
      <c r="AS24" s="62">
        <v>1.1948258209740743</v>
      </c>
      <c r="AU24" s="61">
        <f t="shared" si="3"/>
        <v>23</v>
      </c>
      <c r="AV24" s="62">
        <v>18</v>
      </c>
      <c r="AX24" s="75">
        <v>2.2222222222222223E-2</v>
      </c>
    </row>
    <row r="25" spans="1:50">
      <c r="A25" s="326">
        <v>43829</v>
      </c>
      <c r="B25" s="43">
        <f t="shared" si="2"/>
        <v>4.4000000000000004</v>
      </c>
      <c r="C25" s="292"/>
      <c r="D25" s="46">
        <v>22</v>
      </c>
      <c r="E25" s="40">
        <f t="shared" si="0"/>
        <v>5.04</v>
      </c>
      <c r="F25" s="47">
        <v>5040</v>
      </c>
      <c r="H25" s="54" t="s">
        <v>1223</v>
      </c>
      <c r="I25" s="119">
        <v>9075</v>
      </c>
      <c r="J25" s="292"/>
      <c r="K25" s="52">
        <v>84</v>
      </c>
      <c r="M25" s="54" t="s">
        <v>21</v>
      </c>
      <c r="N25" s="39">
        <f t="shared" si="1"/>
        <v>0</v>
      </c>
      <c r="O25" s="9">
        <v>0</v>
      </c>
      <c r="P25" s="55">
        <v>715</v>
      </c>
      <c r="Q25" s="20"/>
      <c r="R25" s="89" t="s">
        <v>180</v>
      </c>
      <c r="S25" s="91">
        <v>103</v>
      </c>
      <c r="T25" s="92">
        <v>132</v>
      </c>
      <c r="U25" s="90">
        <v>152</v>
      </c>
      <c r="Y25" s="68">
        <v>43585</v>
      </c>
      <c r="Z25" s="55">
        <v>2.1800000000000002</v>
      </c>
      <c r="AB25" s="61" t="s">
        <v>1187</v>
      </c>
      <c r="AC25" s="69">
        <v>1</v>
      </c>
      <c r="AL25" s="42">
        <v>43798</v>
      </c>
      <c r="AM25" s="73">
        <v>1.23</v>
      </c>
      <c r="AN25" s="292"/>
      <c r="AO25" s="42">
        <v>43798</v>
      </c>
      <c r="AP25" s="62">
        <v>159</v>
      </c>
      <c r="AQ25" s="292"/>
      <c r="AR25" s="61" t="s">
        <v>501</v>
      </c>
      <c r="AS25" s="62">
        <v>2.8307839632616378</v>
      </c>
      <c r="AU25" s="61">
        <f t="shared" si="3"/>
        <v>24</v>
      </c>
      <c r="AV25" s="62">
        <v>44</v>
      </c>
      <c r="AX25" s="75">
        <v>2.2916666666666669E-2</v>
      </c>
    </row>
    <row r="26" spans="1:50" ht="13.5" thickBot="1">
      <c r="A26" s="326">
        <v>43860</v>
      </c>
      <c r="B26" s="43">
        <f t="shared" si="2"/>
        <v>4.3</v>
      </c>
      <c r="C26" s="292"/>
      <c r="D26" s="46">
        <v>22</v>
      </c>
      <c r="E26" s="40">
        <f t="shared" si="0"/>
        <v>5.0949999999999998</v>
      </c>
      <c r="F26" s="47">
        <v>5095</v>
      </c>
      <c r="H26" s="54" t="s">
        <v>1223</v>
      </c>
      <c r="I26" s="119">
        <v>8566</v>
      </c>
      <c r="J26" s="292"/>
      <c r="K26" s="52">
        <v>70</v>
      </c>
      <c r="M26" s="57" t="s">
        <v>23</v>
      </c>
      <c r="N26" s="58">
        <f t="shared" si="1"/>
        <v>0</v>
      </c>
      <c r="O26" s="59">
        <v>0</v>
      </c>
      <c r="P26" s="60">
        <v>700</v>
      </c>
      <c r="Q26" s="20"/>
      <c r="R26" s="61" t="s">
        <v>182</v>
      </c>
      <c r="S26" s="41">
        <v>6</v>
      </c>
      <c r="T26" s="24">
        <v>12</v>
      </c>
      <c r="U26" s="62">
        <v>14</v>
      </c>
      <c r="Y26" s="68">
        <v>43616</v>
      </c>
      <c r="Z26" s="55">
        <v>1.87</v>
      </c>
      <c r="AB26" s="61" t="s">
        <v>1188</v>
      </c>
      <c r="AC26" s="69">
        <v>0.9</v>
      </c>
      <c r="AL26" s="42">
        <v>43829</v>
      </c>
      <c r="AM26" s="73">
        <v>0.81</v>
      </c>
      <c r="AN26" s="292"/>
      <c r="AO26" s="42">
        <v>43829</v>
      </c>
      <c r="AP26" s="62">
        <v>199</v>
      </c>
      <c r="AQ26" s="292"/>
      <c r="AR26" s="61" t="s">
        <v>502</v>
      </c>
      <c r="AS26" s="62">
        <v>4.2828922990593128</v>
      </c>
      <c r="AU26" s="61">
        <f t="shared" si="3"/>
        <v>25</v>
      </c>
      <c r="AV26" s="62">
        <v>24</v>
      </c>
      <c r="AX26" s="75">
        <v>4.1666666666666664E-2</v>
      </c>
    </row>
    <row r="27" spans="1:50" ht="13.5" thickBot="1">
      <c r="A27" s="326">
        <v>43891</v>
      </c>
      <c r="B27" s="43">
        <f t="shared" si="2"/>
        <v>3.9</v>
      </c>
      <c r="C27" s="292"/>
      <c r="D27" s="46">
        <v>22</v>
      </c>
      <c r="E27" s="40">
        <f t="shared" si="0"/>
        <v>5.5860000000000003</v>
      </c>
      <c r="F27" s="47">
        <v>5586</v>
      </c>
      <c r="H27" s="54" t="s">
        <v>1223</v>
      </c>
      <c r="I27" s="119">
        <v>10327</v>
      </c>
      <c r="J27" s="292"/>
      <c r="K27" s="52">
        <v>85</v>
      </c>
      <c r="R27" s="61" t="s">
        <v>185</v>
      </c>
      <c r="S27" s="41">
        <v>8</v>
      </c>
      <c r="T27" s="24">
        <v>12</v>
      </c>
      <c r="U27" s="62">
        <v>12</v>
      </c>
      <c r="Y27" s="68">
        <v>43646</v>
      </c>
      <c r="Z27" s="55">
        <v>1.8</v>
      </c>
      <c r="AB27" s="61" t="s">
        <v>1189</v>
      </c>
      <c r="AC27" s="69">
        <v>0.5</v>
      </c>
      <c r="AL27" s="44">
        <v>43860</v>
      </c>
      <c r="AM27" s="74">
        <v>0.9</v>
      </c>
      <c r="AN27" s="292"/>
      <c r="AO27" s="42">
        <v>43860</v>
      </c>
      <c r="AP27" s="62">
        <v>381</v>
      </c>
      <c r="AQ27" s="292"/>
      <c r="AR27" s="61" t="s">
        <v>503</v>
      </c>
      <c r="AS27" s="62">
        <v>1.381963450810872</v>
      </c>
      <c r="AU27" s="61">
        <f t="shared" si="3"/>
        <v>26</v>
      </c>
      <c r="AV27" s="62">
        <v>10</v>
      </c>
      <c r="AX27" s="75">
        <v>9.375E-2</v>
      </c>
    </row>
    <row r="28" spans="1:50" ht="13.5" thickBot="1">
      <c r="A28" s="326">
        <v>43919</v>
      </c>
      <c r="B28" s="43">
        <f t="shared" si="2"/>
        <v>3.7</v>
      </c>
      <c r="C28" s="292"/>
      <c r="D28" s="46">
        <v>19</v>
      </c>
      <c r="E28" s="40">
        <f t="shared" si="0"/>
        <v>5.0860000000000003</v>
      </c>
      <c r="F28" s="47">
        <v>5086</v>
      </c>
      <c r="H28" s="54" t="s">
        <v>1223</v>
      </c>
      <c r="I28" s="119">
        <v>13082</v>
      </c>
      <c r="J28" s="292"/>
      <c r="K28" s="53">
        <v>77</v>
      </c>
      <c r="R28" s="61" t="s">
        <v>188</v>
      </c>
      <c r="S28" s="41">
        <v>1</v>
      </c>
      <c r="T28" s="24">
        <v>3</v>
      </c>
      <c r="U28" s="62">
        <v>4</v>
      </c>
      <c r="Y28" s="68">
        <v>43677</v>
      </c>
      <c r="Z28" s="55">
        <v>1.55</v>
      </c>
      <c r="AB28" s="63" t="s">
        <v>1190</v>
      </c>
      <c r="AC28" s="70">
        <v>0.8</v>
      </c>
      <c r="AK28" s="23"/>
      <c r="AL28" s="23"/>
      <c r="AO28" s="42">
        <v>43888</v>
      </c>
      <c r="AP28" s="62">
        <v>101</v>
      </c>
      <c r="AQ28" s="292"/>
      <c r="AR28" s="61" t="s">
        <v>504</v>
      </c>
      <c r="AS28" s="62">
        <v>3.9631753528083209</v>
      </c>
      <c r="AU28" s="61">
        <f t="shared" si="3"/>
        <v>27</v>
      </c>
      <c r="AV28" s="62">
        <v>106</v>
      </c>
      <c r="AX28" s="75">
        <v>2.0833333333333332E-2</v>
      </c>
    </row>
    <row r="29" spans="1:50" ht="13.5" thickBot="1">
      <c r="A29" s="326">
        <v>43950</v>
      </c>
      <c r="B29" s="43">
        <f t="shared" si="2"/>
        <v>4.5</v>
      </c>
      <c r="C29" s="292"/>
      <c r="D29" s="46">
        <v>23</v>
      </c>
      <c r="E29" s="40">
        <f t="shared" si="0"/>
        <v>5.1479999999999997</v>
      </c>
      <c r="F29" s="47">
        <v>5148</v>
      </c>
      <c r="H29" s="54" t="s">
        <v>1223</v>
      </c>
      <c r="I29" s="119">
        <v>9049</v>
      </c>
      <c r="J29" s="292"/>
      <c r="R29" s="61" t="s">
        <v>190</v>
      </c>
      <c r="S29" s="41">
        <v>1</v>
      </c>
      <c r="T29" s="24">
        <v>3</v>
      </c>
      <c r="U29" s="62">
        <v>4</v>
      </c>
      <c r="Y29" s="68">
        <v>43708</v>
      </c>
      <c r="Z29" s="55">
        <v>2.11</v>
      </c>
      <c r="AK29" s="23"/>
      <c r="AL29" s="23"/>
      <c r="AO29" s="44">
        <v>43920</v>
      </c>
      <c r="AP29" s="64">
        <v>106</v>
      </c>
      <c r="AQ29" s="292"/>
      <c r="AR29" s="61" t="s">
        <v>505</v>
      </c>
      <c r="AS29" s="62">
        <v>3.1936359694809653</v>
      </c>
      <c r="AU29" s="61">
        <f t="shared" si="3"/>
        <v>28</v>
      </c>
      <c r="AV29" s="62">
        <v>22</v>
      </c>
      <c r="AX29" s="75">
        <v>4.7222222222222221E-2</v>
      </c>
    </row>
    <row r="30" spans="1:50" ht="13.5" thickBot="1">
      <c r="A30" s="327">
        <v>43980</v>
      </c>
      <c r="B30" s="45">
        <f t="shared" si="2"/>
        <v>4</v>
      </c>
      <c r="C30" s="292"/>
      <c r="D30" s="49">
        <v>19</v>
      </c>
      <c r="E30" s="50">
        <f t="shared" si="0"/>
        <v>4.7539999999999996</v>
      </c>
      <c r="F30" s="51">
        <v>4754</v>
      </c>
      <c r="H30" s="54" t="s">
        <v>1223</v>
      </c>
      <c r="I30" s="119">
        <v>8193</v>
      </c>
      <c r="J30" s="292"/>
      <c r="R30" s="61" t="s">
        <v>192</v>
      </c>
      <c r="S30" s="41">
        <v>1</v>
      </c>
      <c r="T30" s="24">
        <v>0</v>
      </c>
      <c r="U30" s="62">
        <v>4</v>
      </c>
      <c r="Y30" s="68">
        <v>43738</v>
      </c>
      <c r="Z30" s="55">
        <v>2.65</v>
      </c>
      <c r="AK30" s="23"/>
      <c r="AL30" s="23"/>
      <c r="AO30" s="23"/>
      <c r="AR30" s="61" t="s">
        <v>506</v>
      </c>
      <c r="AS30" s="62">
        <v>2.1993820458446862</v>
      </c>
      <c r="AU30" s="61">
        <f t="shared" si="3"/>
        <v>29</v>
      </c>
      <c r="AV30" s="62">
        <v>15</v>
      </c>
      <c r="AX30" s="75">
        <v>1.6666666666666666E-2</v>
      </c>
    </row>
    <row r="31" spans="1:50">
      <c r="H31" s="54" t="s">
        <v>1223</v>
      </c>
      <c r="I31" s="119">
        <v>5321</v>
      </c>
      <c r="J31" s="292"/>
      <c r="R31" s="61" t="s">
        <v>194</v>
      </c>
      <c r="S31" s="41">
        <v>0</v>
      </c>
      <c r="T31" s="24">
        <v>2</v>
      </c>
      <c r="U31" s="62">
        <v>2</v>
      </c>
      <c r="Y31" s="68">
        <v>43769</v>
      </c>
      <c r="Z31" s="55">
        <v>2.5099999999999998</v>
      </c>
      <c r="AL31" s="22"/>
      <c r="AR31" s="61" t="s">
        <v>507</v>
      </c>
      <c r="AS31" s="62">
        <v>4.0423491403344087</v>
      </c>
      <c r="AU31" s="61">
        <f t="shared" si="3"/>
        <v>30</v>
      </c>
      <c r="AV31" s="62">
        <v>40</v>
      </c>
      <c r="AX31" s="75">
        <v>0.10277777777777779</v>
      </c>
    </row>
    <row r="32" spans="1:50">
      <c r="H32" s="54" t="s">
        <v>1223</v>
      </c>
      <c r="I32" s="119">
        <v>9262</v>
      </c>
      <c r="J32" s="292"/>
      <c r="R32" s="61" t="s">
        <v>196</v>
      </c>
      <c r="S32" s="41">
        <v>1</v>
      </c>
      <c r="T32" s="24">
        <v>2</v>
      </c>
      <c r="U32" s="62">
        <v>2</v>
      </c>
      <c r="Y32" s="68">
        <v>43799</v>
      </c>
      <c r="Z32" s="55">
        <v>2.58</v>
      </c>
      <c r="AL32" s="22"/>
      <c r="AR32" s="61" t="s">
        <v>508</v>
      </c>
      <c r="AS32" s="62">
        <v>2.6130759427614976</v>
      </c>
      <c r="AU32" s="61">
        <f t="shared" si="3"/>
        <v>31</v>
      </c>
      <c r="AV32" s="62">
        <v>50</v>
      </c>
      <c r="AX32" s="75">
        <v>7.0833333333333331E-2</v>
      </c>
    </row>
    <row r="33" spans="8:50" ht="13.5" thickBot="1">
      <c r="H33" s="54" t="s">
        <v>1223</v>
      </c>
      <c r="I33" s="119">
        <v>6835</v>
      </c>
      <c r="J33" s="292"/>
      <c r="R33" s="63" t="s">
        <v>119</v>
      </c>
      <c r="S33" s="66">
        <v>3</v>
      </c>
      <c r="T33" s="67">
        <v>2</v>
      </c>
      <c r="U33" s="64">
        <v>2</v>
      </c>
      <c r="Y33" s="68">
        <v>43830</v>
      </c>
      <c r="Z33" s="55">
        <v>2.2799999999999998</v>
      </c>
      <c r="AL33" s="22"/>
      <c r="AR33" s="61" t="s">
        <v>509</v>
      </c>
      <c r="AS33" s="62">
        <v>4.6762351151555777</v>
      </c>
      <c r="AU33" s="61">
        <f t="shared" si="3"/>
        <v>32</v>
      </c>
      <c r="AV33" s="62">
        <v>30</v>
      </c>
      <c r="AX33" s="75">
        <v>4.4444444444444446E-2</v>
      </c>
    </row>
    <row r="34" spans="8:50">
      <c r="H34" s="54"/>
      <c r="I34" s="119"/>
      <c r="J34" s="292"/>
      <c r="Y34" s="68">
        <v>43861</v>
      </c>
      <c r="Z34" s="55">
        <v>2.06</v>
      </c>
      <c r="AL34" s="22"/>
      <c r="AR34" s="61" t="s">
        <v>510</v>
      </c>
      <c r="AS34" s="62">
        <v>2.4786605839180993</v>
      </c>
      <c r="AU34" s="61">
        <f t="shared" si="3"/>
        <v>33</v>
      </c>
      <c r="AV34" s="62">
        <v>58</v>
      </c>
      <c r="AX34" s="75">
        <v>3.5416666666666666E-2</v>
      </c>
    </row>
    <row r="35" spans="8:50" ht="13.5" thickBot="1">
      <c r="H35" s="54" t="s">
        <v>1224</v>
      </c>
      <c r="I35" s="119">
        <v>7190</v>
      </c>
      <c r="J35" s="292"/>
      <c r="Y35" s="328">
        <v>43890</v>
      </c>
      <c r="Z35" s="60">
        <v>1.44</v>
      </c>
      <c r="AL35" s="22"/>
      <c r="AR35" s="61" t="s">
        <v>511</v>
      </c>
      <c r="AS35" s="62">
        <v>4.4179886420606636</v>
      </c>
      <c r="AU35" s="61">
        <f t="shared" si="3"/>
        <v>34</v>
      </c>
      <c r="AV35" s="62">
        <v>43</v>
      </c>
      <c r="AX35" s="75">
        <v>6.5972222222222224E-2</v>
      </c>
    </row>
    <row r="36" spans="8:50">
      <c r="H36" s="54" t="s">
        <v>1224</v>
      </c>
      <c r="I36" s="119">
        <v>6313</v>
      </c>
      <c r="AL36" s="22"/>
      <c r="AR36" s="61" t="s">
        <v>512</v>
      </c>
      <c r="AS36" s="62">
        <v>1.9160551194800064</v>
      </c>
      <c r="AU36" s="61">
        <f t="shared" si="3"/>
        <v>35</v>
      </c>
      <c r="AV36" s="62">
        <v>20</v>
      </c>
      <c r="AX36" s="75">
        <v>7.7083333333333337E-2</v>
      </c>
    </row>
    <row r="37" spans="8:50">
      <c r="H37" s="54" t="s">
        <v>1224</v>
      </c>
      <c r="I37" s="119">
        <v>6753</v>
      </c>
      <c r="AL37" s="22"/>
      <c r="AR37" s="61" t="s">
        <v>513</v>
      </c>
      <c r="AS37" s="62">
        <v>3.0673310296406271</v>
      </c>
      <c r="AU37" s="61">
        <f t="shared" si="3"/>
        <v>36</v>
      </c>
      <c r="AV37" s="62">
        <v>18</v>
      </c>
      <c r="AX37" s="75">
        <v>7.9861111111111105E-2</v>
      </c>
    </row>
    <row r="38" spans="8:50">
      <c r="H38" s="54" t="s">
        <v>1224</v>
      </c>
      <c r="I38" s="119">
        <v>6425</v>
      </c>
      <c r="AR38" s="61" t="s">
        <v>514</v>
      </c>
      <c r="AS38" s="62">
        <v>4.3334670256881509</v>
      </c>
      <c r="AU38" s="61">
        <f t="shared" si="3"/>
        <v>37</v>
      </c>
      <c r="AV38" s="62">
        <v>28</v>
      </c>
      <c r="AX38" s="75">
        <v>8.1944444444444445E-2</v>
      </c>
    </row>
    <row r="39" spans="8:50">
      <c r="H39" s="54" t="s">
        <v>1224</v>
      </c>
      <c r="I39" s="119">
        <v>9401</v>
      </c>
      <c r="AR39" s="61" t="s">
        <v>515</v>
      </c>
      <c r="AS39" s="62">
        <v>3.3521131475281436</v>
      </c>
      <c r="AU39" s="61">
        <f t="shared" si="3"/>
        <v>38</v>
      </c>
      <c r="AV39" s="62">
        <v>16</v>
      </c>
      <c r="AX39" s="75">
        <v>4.5833333333333337E-2</v>
      </c>
    </row>
    <row r="40" spans="8:50">
      <c r="H40" s="54" t="s">
        <v>1224</v>
      </c>
      <c r="I40" s="119">
        <v>7637</v>
      </c>
      <c r="AR40" s="61" t="s">
        <v>516</v>
      </c>
      <c r="AS40" s="62">
        <v>3.8393772077397443</v>
      </c>
      <c r="AU40" s="61">
        <f t="shared" si="3"/>
        <v>39</v>
      </c>
      <c r="AV40" s="62">
        <v>20</v>
      </c>
      <c r="AX40" s="75">
        <v>5.4166666666666669E-2</v>
      </c>
    </row>
    <row r="41" spans="8:50">
      <c r="H41" s="54" t="s">
        <v>1224</v>
      </c>
      <c r="I41" s="119">
        <v>7355</v>
      </c>
      <c r="AR41" s="61" t="s">
        <v>517</v>
      </c>
      <c r="AS41" s="62">
        <v>4.0490884960745461</v>
      </c>
      <c r="AU41" s="61">
        <f t="shared" si="3"/>
        <v>40</v>
      </c>
      <c r="AV41" s="62">
        <v>58</v>
      </c>
      <c r="AX41" s="75">
        <v>3.1944444444444449E-2</v>
      </c>
    </row>
    <row r="42" spans="8:50">
      <c r="H42" s="54" t="s">
        <v>1224</v>
      </c>
      <c r="I42" s="119">
        <v>9158</v>
      </c>
      <c r="AR42" s="61" t="s">
        <v>518</v>
      </c>
      <c r="AS42" s="62">
        <v>3.9360383046441711</v>
      </c>
      <c r="AU42" s="61">
        <f t="shared" si="3"/>
        <v>41</v>
      </c>
      <c r="AV42" s="62">
        <v>32</v>
      </c>
      <c r="AX42" s="75">
        <v>5.5555555555555552E-2</v>
      </c>
    </row>
    <row r="43" spans="8:50">
      <c r="H43" s="54" t="s">
        <v>1224</v>
      </c>
      <c r="I43" s="119">
        <v>7391</v>
      </c>
      <c r="AR43" s="61" t="s">
        <v>519</v>
      </c>
      <c r="AS43" s="62">
        <v>3.7068001650623046</v>
      </c>
      <c r="AU43" s="61">
        <f t="shared" si="3"/>
        <v>42</v>
      </c>
      <c r="AV43" s="62">
        <v>16</v>
      </c>
      <c r="AX43" s="75">
        <v>5.7638888888888885E-2</v>
      </c>
    </row>
    <row r="44" spans="8:50">
      <c r="H44" s="54" t="s">
        <v>1224</v>
      </c>
      <c r="I44" s="119">
        <v>8260</v>
      </c>
      <c r="AR44" s="61" t="s">
        <v>520</v>
      </c>
      <c r="AS44" s="62">
        <v>1.9422508406278212</v>
      </c>
      <c r="AU44" s="61">
        <f t="shared" si="3"/>
        <v>43</v>
      </c>
      <c r="AV44" s="62">
        <v>35</v>
      </c>
      <c r="AX44" s="75">
        <v>2.4999999999999998E-2</v>
      </c>
    </row>
    <row r="45" spans="8:50">
      <c r="H45" s="54" t="s">
        <v>1224</v>
      </c>
      <c r="I45" s="119">
        <v>5274</v>
      </c>
      <c r="AR45" s="61" t="s">
        <v>521</v>
      </c>
      <c r="AS45" s="62">
        <v>3.4828962119063362</v>
      </c>
      <c r="AU45" s="61">
        <f t="shared" si="3"/>
        <v>44</v>
      </c>
      <c r="AV45" s="62">
        <v>40</v>
      </c>
      <c r="AX45" s="75">
        <v>6.1805555555555558E-2</v>
      </c>
    </row>
    <row r="46" spans="8:50">
      <c r="H46" s="54" t="s">
        <v>1224</v>
      </c>
      <c r="I46" s="119">
        <v>6426</v>
      </c>
      <c r="AR46" s="61" t="s">
        <v>522</v>
      </c>
      <c r="AS46" s="62">
        <v>3.4945331966155209</v>
      </c>
      <c r="AU46" s="61">
        <f t="shared" si="3"/>
        <v>45</v>
      </c>
      <c r="AV46" s="62">
        <v>16</v>
      </c>
      <c r="AX46" s="75">
        <v>3.125E-2</v>
      </c>
    </row>
    <row r="47" spans="8:50">
      <c r="H47" s="54" t="s">
        <v>1224</v>
      </c>
      <c r="I47" s="119">
        <v>6317</v>
      </c>
      <c r="AR47" s="61" t="s">
        <v>523</v>
      </c>
      <c r="AS47" s="62">
        <v>2.048436620796565</v>
      </c>
      <c r="AU47" s="61">
        <f t="shared" si="3"/>
        <v>46</v>
      </c>
      <c r="AV47" s="62">
        <v>16</v>
      </c>
      <c r="AX47" s="75">
        <v>4.2361111111111106E-2</v>
      </c>
    </row>
    <row r="48" spans="8:50">
      <c r="H48" s="54" t="s">
        <v>1224</v>
      </c>
      <c r="I48" s="119">
        <v>7784</v>
      </c>
      <c r="AR48" s="61" t="s">
        <v>524</v>
      </c>
      <c r="AS48" s="62">
        <v>3.360835201718146</v>
      </c>
      <c r="AU48" s="61">
        <f t="shared" si="3"/>
        <v>47</v>
      </c>
      <c r="AV48" s="62">
        <v>18</v>
      </c>
      <c r="AX48" s="75">
        <v>3.7499999999999999E-2</v>
      </c>
    </row>
    <row r="49" spans="8:50">
      <c r="H49" s="54" t="s">
        <v>1224</v>
      </c>
      <c r="I49" s="119">
        <v>7746</v>
      </c>
      <c r="AR49" s="61" t="s">
        <v>525</v>
      </c>
      <c r="AS49" s="62">
        <v>3.8673441698192619</v>
      </c>
      <c r="AU49" s="61">
        <f t="shared" si="3"/>
        <v>48</v>
      </c>
      <c r="AV49" s="62">
        <v>22</v>
      </c>
      <c r="AX49" s="75">
        <v>3.888888888888889E-2</v>
      </c>
    </row>
    <row r="50" spans="8:50">
      <c r="H50" s="54" t="s">
        <v>1224</v>
      </c>
      <c r="I50" s="119">
        <v>7870</v>
      </c>
      <c r="AR50" s="61" t="s">
        <v>526</v>
      </c>
      <c r="AS50" s="62">
        <v>1.8450599630596116</v>
      </c>
      <c r="AU50" s="61">
        <f t="shared" si="3"/>
        <v>49</v>
      </c>
      <c r="AV50" s="62">
        <v>22</v>
      </c>
      <c r="AX50" s="75">
        <v>8.6805555555555566E-2</v>
      </c>
    </row>
    <row r="51" spans="8:50">
      <c r="H51" s="54" t="s">
        <v>1224</v>
      </c>
      <c r="I51" s="119">
        <v>9386</v>
      </c>
      <c r="AR51" s="61" t="s">
        <v>527</v>
      </c>
      <c r="AS51" s="62">
        <v>3.2202864379796665</v>
      </c>
      <c r="AU51" s="61">
        <f t="shared" si="3"/>
        <v>50</v>
      </c>
      <c r="AV51" s="62">
        <v>55</v>
      </c>
      <c r="AX51" s="75">
        <v>5.2777777777777778E-2</v>
      </c>
    </row>
    <row r="52" spans="8:50">
      <c r="H52" s="54" t="s">
        <v>1224</v>
      </c>
      <c r="I52" s="119">
        <v>6833</v>
      </c>
      <c r="AR52" s="61" t="s">
        <v>528</v>
      </c>
      <c r="AS52" s="62">
        <v>4.1422162060625851</v>
      </c>
      <c r="AU52" s="61">
        <f t="shared" si="3"/>
        <v>51</v>
      </c>
      <c r="AV52" s="62">
        <v>31</v>
      </c>
      <c r="AX52" s="75">
        <v>4.4444444444444446E-2</v>
      </c>
    </row>
    <row r="53" spans="8:50">
      <c r="H53" s="54" t="s">
        <v>1224</v>
      </c>
      <c r="I53" s="119">
        <v>6570</v>
      </c>
      <c r="AR53" s="61" t="s">
        <v>529</v>
      </c>
      <c r="AS53" s="62">
        <v>3.6318543910310837</v>
      </c>
      <c r="AU53" s="61">
        <f t="shared" si="3"/>
        <v>52</v>
      </c>
      <c r="AV53" s="62">
        <v>20</v>
      </c>
      <c r="AX53" s="75">
        <v>3.3333333333333333E-2</v>
      </c>
    </row>
    <row r="54" spans="8:50">
      <c r="H54" s="54" t="s">
        <v>1224</v>
      </c>
      <c r="I54" s="119">
        <v>4656</v>
      </c>
      <c r="AR54" s="61" t="s">
        <v>530</v>
      </c>
      <c r="AS54" s="62">
        <v>2.2964353623392526</v>
      </c>
      <c r="AU54" s="61">
        <f t="shared" si="3"/>
        <v>53</v>
      </c>
      <c r="AV54" s="62">
        <v>15</v>
      </c>
      <c r="AX54" s="75">
        <v>2.6388888888888889E-2</v>
      </c>
    </row>
    <row r="55" spans="8:50">
      <c r="H55" s="54" t="s">
        <v>1224</v>
      </c>
      <c r="I55" s="119">
        <v>7226</v>
      </c>
      <c r="AR55" s="61" t="s">
        <v>531</v>
      </c>
      <c r="AS55" s="62">
        <v>2.0642004377150442</v>
      </c>
      <c r="AU55" s="61">
        <f t="shared" si="3"/>
        <v>54</v>
      </c>
      <c r="AV55" s="62">
        <v>21</v>
      </c>
      <c r="AX55" s="75">
        <v>8.3333333333333332E-3</v>
      </c>
    </row>
    <row r="56" spans="8:50" ht="13.5" thickBot="1">
      <c r="H56" s="54" t="s">
        <v>1224</v>
      </c>
      <c r="I56" s="119">
        <v>6443</v>
      </c>
      <c r="AR56" s="61" t="s">
        <v>532</v>
      </c>
      <c r="AS56" s="62">
        <v>2.6036603988613933</v>
      </c>
      <c r="AU56" s="63">
        <f t="shared" si="3"/>
        <v>55</v>
      </c>
      <c r="AV56" s="64">
        <v>55</v>
      </c>
      <c r="AX56" s="75">
        <v>5.0694444444444452E-2</v>
      </c>
    </row>
    <row r="57" spans="8:50">
      <c r="H57" s="54" t="s">
        <v>1224</v>
      </c>
      <c r="I57" s="119">
        <v>6270</v>
      </c>
      <c r="AR57" s="61" t="s">
        <v>533</v>
      </c>
      <c r="AS57" s="62">
        <v>2.9154067609197227</v>
      </c>
      <c r="AX57" s="75">
        <v>2.9861111111111113E-2</v>
      </c>
    </row>
    <row r="58" spans="8:50">
      <c r="H58" s="54" t="s">
        <v>1224</v>
      </c>
      <c r="I58" s="119">
        <v>6498</v>
      </c>
      <c r="AR58" s="61" t="s">
        <v>534</v>
      </c>
      <c r="AS58" s="62">
        <v>1.3168663675314747</v>
      </c>
      <c r="AX58" s="75">
        <v>4.0972222222222222E-2</v>
      </c>
    </row>
    <row r="59" spans="8:50">
      <c r="H59" s="54" t="s">
        <v>1224</v>
      </c>
      <c r="I59" s="119">
        <v>8334</v>
      </c>
      <c r="AR59" s="61" t="s">
        <v>535</v>
      </c>
      <c r="AS59" s="62">
        <v>2.8841906290181214</v>
      </c>
      <c r="AX59" s="75">
        <v>4.0972222222222222E-2</v>
      </c>
    </row>
    <row r="60" spans="8:50">
      <c r="H60" s="54" t="s">
        <v>1224</v>
      </c>
      <c r="I60" s="119">
        <v>7290</v>
      </c>
      <c r="AR60" s="61" t="s">
        <v>536</v>
      </c>
      <c r="AS60" s="62">
        <v>2.6895087406301172</v>
      </c>
      <c r="AX60" s="75">
        <v>5.5555555555555552E-2</v>
      </c>
    </row>
    <row r="61" spans="8:50">
      <c r="H61" s="54" t="s">
        <v>1224</v>
      </c>
      <c r="I61" s="119">
        <v>8254</v>
      </c>
      <c r="AR61" s="61" t="s">
        <v>537</v>
      </c>
      <c r="AS61" s="62">
        <v>4.256007635674905</v>
      </c>
      <c r="AX61" s="75">
        <v>5.4166666666666669E-2</v>
      </c>
    </row>
    <row r="62" spans="8:50">
      <c r="H62" s="54" t="s">
        <v>1224</v>
      </c>
      <c r="I62" s="119">
        <v>7972</v>
      </c>
      <c r="AR62" s="61" t="s">
        <v>538</v>
      </c>
      <c r="AS62" s="62">
        <v>3.7647668098798022</v>
      </c>
      <c r="AX62" s="75">
        <v>4.5138888888888888E-2</v>
      </c>
    </row>
    <row r="63" spans="8:50">
      <c r="H63" s="54" t="s">
        <v>1224</v>
      </c>
      <c r="I63" s="119">
        <v>13045</v>
      </c>
      <c r="AR63" s="61" t="s">
        <v>539</v>
      </c>
      <c r="AS63" s="62">
        <v>2.7854308730893536</v>
      </c>
      <c r="AX63" s="75">
        <v>3.0555555555555555E-2</v>
      </c>
    </row>
    <row r="64" spans="8:50">
      <c r="H64" s="54" t="s">
        <v>1224</v>
      </c>
      <c r="I64" s="119">
        <v>5294</v>
      </c>
      <c r="AR64" s="61" t="s">
        <v>540</v>
      </c>
      <c r="AS64" s="62">
        <v>2.7154964148649015</v>
      </c>
      <c r="AX64" s="75">
        <v>2.013888888888889E-2</v>
      </c>
    </row>
    <row r="65" spans="8:50">
      <c r="H65" s="54" t="s">
        <v>1224</v>
      </c>
      <c r="I65" s="119">
        <v>5966</v>
      </c>
      <c r="AR65" s="61" t="s">
        <v>541</v>
      </c>
      <c r="AS65" s="62">
        <v>1.7261139722249936</v>
      </c>
      <c r="AX65" s="75">
        <v>2.4305555555555556E-2</v>
      </c>
    </row>
    <row r="66" spans="8:50">
      <c r="H66" s="54" t="s">
        <v>1224</v>
      </c>
      <c r="I66" s="119">
        <v>7452</v>
      </c>
      <c r="AR66" s="61" t="s">
        <v>542</v>
      </c>
      <c r="AS66" s="62">
        <v>3.5384174528444419</v>
      </c>
      <c r="AX66" s="76"/>
    </row>
    <row r="67" spans="8:50">
      <c r="H67" s="54" t="s">
        <v>1224</v>
      </c>
      <c r="I67" s="119">
        <v>6297</v>
      </c>
      <c r="AR67" s="61" t="s">
        <v>543</v>
      </c>
      <c r="AS67" s="62">
        <v>2.3044480106618721</v>
      </c>
      <c r="AX67" s="75">
        <v>6.9444444444444441E-3</v>
      </c>
    </row>
    <row r="68" spans="8:50">
      <c r="H68" s="54" t="s">
        <v>1224</v>
      </c>
      <c r="I68" s="119">
        <v>7554</v>
      </c>
      <c r="AR68" s="61" t="s">
        <v>544</v>
      </c>
      <c r="AS68" s="62">
        <v>2.5937105268239975</v>
      </c>
      <c r="AX68" s="75">
        <v>2.013888888888889E-2</v>
      </c>
    </row>
    <row r="69" spans="8:50">
      <c r="H69" s="54" t="s">
        <v>1224</v>
      </c>
      <c r="I69" s="119">
        <v>8086</v>
      </c>
      <c r="AR69" s="61" t="s">
        <v>545</v>
      </c>
      <c r="AS69" s="62">
        <v>1.8173431120230816</v>
      </c>
      <c r="AX69" s="75">
        <v>6.6666666666666666E-2</v>
      </c>
    </row>
    <row r="70" spans="8:50">
      <c r="H70" s="54" t="s">
        <v>1224</v>
      </c>
      <c r="I70" s="119">
        <v>6863</v>
      </c>
      <c r="AR70" s="61" t="s">
        <v>546</v>
      </c>
      <c r="AS70" s="62">
        <v>2.8033240444783587</v>
      </c>
      <c r="AX70" s="75">
        <v>4.5138888888888888E-2</v>
      </c>
    </row>
    <row r="71" spans="8:50">
      <c r="H71" s="54" t="s">
        <v>1224</v>
      </c>
      <c r="I71" s="119">
        <v>10880</v>
      </c>
      <c r="AR71" s="61" t="s">
        <v>547</v>
      </c>
      <c r="AS71" s="62">
        <v>3.1548755790281575</v>
      </c>
      <c r="AX71" s="75">
        <v>4.9999999999999996E-2</v>
      </c>
    </row>
    <row r="72" spans="8:50">
      <c r="H72" s="54" t="s">
        <v>1224</v>
      </c>
      <c r="I72" s="119">
        <v>6261</v>
      </c>
      <c r="AR72" s="61" t="s">
        <v>548</v>
      </c>
      <c r="AS72" s="62">
        <v>3.3917102731065825</v>
      </c>
      <c r="AX72" s="75">
        <v>3.888888888888889E-2</v>
      </c>
    </row>
    <row r="73" spans="8:50">
      <c r="H73" s="54" t="s">
        <v>1224</v>
      </c>
      <c r="I73" s="119">
        <v>5117</v>
      </c>
      <c r="AR73" s="61" t="s">
        <v>549</v>
      </c>
      <c r="AS73" s="62">
        <v>2.6759129317069892</v>
      </c>
      <c r="AX73" s="75">
        <v>5.0694444444444452E-2</v>
      </c>
    </row>
    <row r="74" spans="8:50">
      <c r="H74" s="54" t="s">
        <v>1224</v>
      </c>
      <c r="I74" s="119">
        <v>7693</v>
      </c>
      <c r="AR74" s="61" t="s">
        <v>550</v>
      </c>
      <c r="AS74" s="62">
        <v>2.0416790751623921</v>
      </c>
      <c r="AX74" s="75">
        <v>3.8194444444444441E-2</v>
      </c>
    </row>
    <row r="75" spans="8:50">
      <c r="H75" s="54" t="s">
        <v>1224</v>
      </c>
      <c r="I75" s="119">
        <v>8346</v>
      </c>
      <c r="AR75" s="61" t="s">
        <v>551</v>
      </c>
      <c r="AS75" s="62">
        <v>3.2445722202537581</v>
      </c>
      <c r="AX75" s="75">
        <v>2.6388888888888889E-2</v>
      </c>
    </row>
    <row r="76" spans="8:50">
      <c r="H76" s="54" t="s">
        <v>1224</v>
      </c>
      <c r="I76" s="119">
        <v>6806</v>
      </c>
      <c r="AR76" s="61" t="s">
        <v>552</v>
      </c>
      <c r="AS76" s="62">
        <v>2.4750646692409646</v>
      </c>
      <c r="AX76" s="75">
        <v>1.9444444444444445E-2</v>
      </c>
    </row>
    <row r="77" spans="8:50">
      <c r="H77" s="54" t="s">
        <v>1224</v>
      </c>
      <c r="I77" s="119">
        <v>5202</v>
      </c>
      <c r="AR77" s="61" t="s">
        <v>553</v>
      </c>
      <c r="AS77" s="62">
        <v>2.8295425029937178</v>
      </c>
      <c r="AX77" s="75">
        <v>5.9722222222222225E-2</v>
      </c>
    </row>
    <row r="78" spans="8:50">
      <c r="H78" s="54"/>
      <c r="I78" s="119"/>
      <c r="AR78" s="61" t="s">
        <v>554</v>
      </c>
      <c r="AS78" s="62">
        <v>2.1803701959725004</v>
      </c>
      <c r="AX78" s="75">
        <v>6.25E-2</v>
      </c>
    </row>
    <row r="79" spans="8:50">
      <c r="H79" s="54" t="s">
        <v>1225</v>
      </c>
      <c r="I79" s="119">
        <v>6377</v>
      </c>
      <c r="AR79" s="61" t="s">
        <v>555</v>
      </c>
      <c r="AS79" s="62">
        <v>2.0712876751786098</v>
      </c>
      <c r="AX79" s="75">
        <v>1.3194444444444444E-2</v>
      </c>
    </row>
    <row r="80" spans="8:50">
      <c r="H80" s="54" t="s">
        <v>1225</v>
      </c>
      <c r="I80" s="119">
        <v>7985</v>
      </c>
      <c r="AR80" s="61" t="s">
        <v>556</v>
      </c>
      <c r="AS80" s="62">
        <v>2.9276076323440066</v>
      </c>
      <c r="AX80" s="75">
        <v>4.5138888888888888E-2</v>
      </c>
    </row>
    <row r="81" spans="8:50">
      <c r="H81" s="54" t="s">
        <v>1225</v>
      </c>
      <c r="I81" s="119">
        <v>5627</v>
      </c>
      <c r="AR81" s="61" t="s">
        <v>557</v>
      </c>
      <c r="AS81" s="62">
        <v>2.2477796695311554</v>
      </c>
      <c r="AX81" s="75">
        <v>3.3333333333333333E-2</v>
      </c>
    </row>
    <row r="82" spans="8:50">
      <c r="H82" s="54" t="s">
        <v>1225</v>
      </c>
      <c r="I82" s="119">
        <v>9296</v>
      </c>
      <c r="AR82" s="61" t="s">
        <v>558</v>
      </c>
      <c r="AS82" s="62">
        <v>3.7704147719778121</v>
      </c>
      <c r="AX82" s="75">
        <v>4.0972222222222222E-2</v>
      </c>
    </row>
    <row r="83" spans="8:50">
      <c r="H83" s="54" t="s">
        <v>1225</v>
      </c>
      <c r="I83" s="119">
        <v>5370</v>
      </c>
      <c r="AR83" s="61" t="s">
        <v>559</v>
      </c>
      <c r="AS83" s="62">
        <v>4.7909223970491439</v>
      </c>
      <c r="AX83" s="75">
        <v>1.8749999999999999E-2</v>
      </c>
    </row>
    <row r="84" spans="8:50">
      <c r="H84" s="54" t="s">
        <v>1225</v>
      </c>
      <c r="I84" s="119">
        <v>8474</v>
      </c>
      <c r="AR84" s="61" t="s">
        <v>560</v>
      </c>
      <c r="AS84" s="62">
        <v>2.9589476828987245</v>
      </c>
      <c r="AX84" s="75">
        <v>4.1666666666666664E-2</v>
      </c>
    </row>
    <row r="85" spans="8:50">
      <c r="H85" s="54" t="s">
        <v>1225</v>
      </c>
      <c r="I85" s="119">
        <v>7010</v>
      </c>
      <c r="AR85" s="61" t="s">
        <v>561</v>
      </c>
      <c r="AS85" s="62">
        <v>2.7265513229649514</v>
      </c>
      <c r="AX85" s="75">
        <v>5.8333333333333327E-2</v>
      </c>
    </row>
    <row r="86" spans="8:50">
      <c r="H86" s="54" t="s">
        <v>1225</v>
      </c>
      <c r="I86" s="119">
        <v>4843</v>
      </c>
      <c r="AR86" s="61" t="s">
        <v>562</v>
      </c>
      <c r="AS86" s="62">
        <v>3.5317087925504893</v>
      </c>
      <c r="AX86" s="75">
        <v>4.8611111111111112E-3</v>
      </c>
    </row>
    <row r="87" spans="8:50">
      <c r="H87" s="54" t="s">
        <v>1225</v>
      </c>
      <c r="I87" s="119">
        <v>6566</v>
      </c>
      <c r="AR87" s="61" t="s">
        <v>563</v>
      </c>
      <c r="AS87" s="62">
        <v>3.948439264902845</v>
      </c>
      <c r="AX87" s="75">
        <v>4.1666666666666664E-2</v>
      </c>
    </row>
    <row r="88" spans="8:50">
      <c r="H88" s="54" t="s">
        <v>1225</v>
      </c>
      <c r="I88" s="119">
        <v>7041</v>
      </c>
      <c r="AR88" s="61" t="s">
        <v>564</v>
      </c>
      <c r="AS88" s="62">
        <v>2.4276652159896912</v>
      </c>
      <c r="AX88" s="75">
        <v>2.2222222222222223E-2</v>
      </c>
    </row>
    <row r="89" spans="8:50">
      <c r="H89" s="54" t="s">
        <v>1225</v>
      </c>
      <c r="I89" s="119">
        <v>7283</v>
      </c>
      <c r="AR89" s="61" t="s">
        <v>565</v>
      </c>
      <c r="AS89" s="62">
        <v>4.3358908290683758</v>
      </c>
      <c r="AX89" s="75">
        <v>6.0416666666666667E-2</v>
      </c>
    </row>
    <row r="90" spans="8:50">
      <c r="H90" s="54" t="s">
        <v>1225</v>
      </c>
      <c r="I90" s="119">
        <v>8589</v>
      </c>
      <c r="AR90" s="61" t="s">
        <v>566</v>
      </c>
      <c r="AS90" s="62">
        <v>1.664670783909969</v>
      </c>
      <c r="AX90" s="75">
        <v>3.5416666666666666E-2</v>
      </c>
    </row>
    <row r="91" spans="8:50">
      <c r="H91" s="54" t="s">
        <v>1225</v>
      </c>
      <c r="I91" s="119">
        <v>6854</v>
      </c>
      <c r="AR91" s="61" t="s">
        <v>567</v>
      </c>
      <c r="AS91" s="62">
        <v>3.7647668098798022</v>
      </c>
      <c r="AX91" s="75">
        <v>2.1527777777777781E-2</v>
      </c>
    </row>
    <row r="92" spans="8:50">
      <c r="H92" s="54" t="s">
        <v>1225</v>
      </c>
      <c r="I92" s="119">
        <v>7644</v>
      </c>
      <c r="AR92" s="61" t="s">
        <v>568</v>
      </c>
      <c r="AS92" s="62">
        <v>2.4697895999706816</v>
      </c>
      <c r="AX92" s="75">
        <v>4.0972222222222222E-2</v>
      </c>
    </row>
    <row r="93" spans="8:50">
      <c r="H93" s="54" t="s">
        <v>1225</v>
      </c>
      <c r="I93" s="119">
        <v>7645</v>
      </c>
      <c r="AR93" s="61" t="s">
        <v>569</v>
      </c>
      <c r="AS93" s="62">
        <v>3.4238825113134226</v>
      </c>
      <c r="AX93" s="75">
        <v>6.458333333333334E-2</v>
      </c>
    </row>
    <row r="94" spans="8:50">
      <c r="H94" s="54" t="s">
        <v>1225</v>
      </c>
      <c r="I94" s="119">
        <v>6506</v>
      </c>
      <c r="AR94" s="61" t="s">
        <v>570</v>
      </c>
      <c r="AS94" s="62">
        <v>2.407725681521697</v>
      </c>
      <c r="AX94" s="75">
        <v>4.2361111111111106E-2</v>
      </c>
    </row>
    <row r="95" spans="8:50">
      <c r="H95" s="54" t="s">
        <v>1225</v>
      </c>
      <c r="I95" s="119">
        <v>10142</v>
      </c>
      <c r="AR95" s="61" t="s">
        <v>571</v>
      </c>
      <c r="AS95" s="62">
        <v>2.5606674474402098</v>
      </c>
      <c r="AX95" s="75">
        <v>2.7777777777777776E-2</v>
      </c>
    </row>
    <row r="96" spans="8:50">
      <c r="H96" s="54" t="s">
        <v>1225</v>
      </c>
      <c r="I96" s="119">
        <v>6162</v>
      </c>
      <c r="AR96" s="61" t="s">
        <v>572</v>
      </c>
      <c r="AS96" s="62">
        <v>4.4123679648037069</v>
      </c>
      <c r="AX96" s="75">
        <v>2.4305555555555556E-2</v>
      </c>
    </row>
    <row r="97" spans="8:50">
      <c r="H97" s="54"/>
      <c r="I97" s="119"/>
      <c r="AR97" s="61" t="s">
        <v>573</v>
      </c>
      <c r="AS97" s="62">
        <v>1.8237868819851428</v>
      </c>
      <c r="AX97" s="75">
        <v>2.2222222222222223E-2</v>
      </c>
    </row>
    <row r="98" spans="8:50">
      <c r="H98" s="54" t="s">
        <v>1226</v>
      </c>
      <c r="I98" s="119">
        <v>8369</v>
      </c>
      <c r="AR98" s="61" t="s">
        <v>574</v>
      </c>
      <c r="AS98" s="62">
        <v>2.842955276108114</v>
      </c>
      <c r="AX98" s="75">
        <v>1.7361111111111112E-2</v>
      </c>
    </row>
    <row r="99" spans="8:50">
      <c r="H99" s="54" t="s">
        <v>1226</v>
      </c>
      <c r="I99" s="119">
        <v>7292</v>
      </c>
      <c r="AR99" s="61" t="s">
        <v>575</v>
      </c>
      <c r="AS99" s="62">
        <v>3.7045446182019077</v>
      </c>
      <c r="AX99" s="75">
        <v>1.3194444444444444E-2</v>
      </c>
    </row>
    <row r="100" spans="8:50">
      <c r="H100" s="54" t="s">
        <v>1226</v>
      </c>
      <c r="I100" s="119">
        <v>7521</v>
      </c>
      <c r="AR100" s="61" t="s">
        <v>576</v>
      </c>
      <c r="AS100" s="62">
        <v>2.7891870862076757</v>
      </c>
      <c r="AX100" s="75">
        <v>1.8749999999999999E-2</v>
      </c>
    </row>
    <row r="101" spans="8:50">
      <c r="H101" s="54" t="s">
        <v>1226</v>
      </c>
      <c r="I101" s="119">
        <v>5298</v>
      </c>
      <c r="AR101" s="61" t="s">
        <v>577</v>
      </c>
      <c r="AS101" s="62">
        <v>3.6167942956381012</v>
      </c>
      <c r="AX101" s="75">
        <v>3.888888888888889E-2</v>
      </c>
    </row>
    <row r="102" spans="8:50">
      <c r="H102" s="54" t="s">
        <v>1226</v>
      </c>
      <c r="I102" s="119">
        <v>6514</v>
      </c>
      <c r="AR102" s="61" t="s">
        <v>578</v>
      </c>
      <c r="AS102" s="62">
        <v>4.8443915905663744</v>
      </c>
      <c r="AX102" s="75">
        <v>2.5694444444444447E-2</v>
      </c>
    </row>
    <row r="103" spans="8:50">
      <c r="H103" s="54" t="s">
        <v>1226</v>
      </c>
      <c r="I103" s="119">
        <v>8158</v>
      </c>
      <c r="AR103" s="61" t="s">
        <v>579</v>
      </c>
      <c r="AS103" s="62">
        <v>1.7288629199611023</v>
      </c>
      <c r="AX103" s="75">
        <v>3.6805555555555557E-2</v>
      </c>
    </row>
    <row r="104" spans="8:50">
      <c r="H104" s="54" t="s">
        <v>1226</v>
      </c>
      <c r="I104" s="119">
        <v>4596</v>
      </c>
      <c r="AR104" s="61" t="s">
        <v>580</v>
      </c>
      <c r="AS104" s="62">
        <v>3.0437330527347513</v>
      </c>
      <c r="AX104" s="75">
        <v>6.805555555555555E-2</v>
      </c>
    </row>
    <row r="105" spans="8:50">
      <c r="H105" s="54" t="s">
        <v>1226</v>
      </c>
      <c r="I105" s="119">
        <v>7449</v>
      </c>
      <c r="AR105" s="61" t="s">
        <v>581</v>
      </c>
      <c r="AS105" s="62">
        <v>2.3952815202646889</v>
      </c>
      <c r="AX105" s="75">
        <v>3.4722222222222224E-2</v>
      </c>
    </row>
    <row r="106" spans="8:50">
      <c r="H106" s="54" t="s">
        <v>1226</v>
      </c>
      <c r="I106" s="119">
        <v>7328</v>
      </c>
      <c r="AR106" s="61" t="s">
        <v>582</v>
      </c>
      <c r="AS106" s="62">
        <v>1.8510035109356977</v>
      </c>
      <c r="AX106" s="75">
        <v>3.9583333333333331E-2</v>
      </c>
    </row>
    <row r="107" spans="8:50">
      <c r="H107" s="54" t="s">
        <v>1226</v>
      </c>
      <c r="I107" s="119">
        <v>6235</v>
      </c>
      <c r="AR107" s="61" t="s">
        <v>583</v>
      </c>
      <c r="AS107" s="62">
        <v>2.5844711975223618</v>
      </c>
      <c r="AX107" s="75">
        <v>4.5138888888888888E-2</v>
      </c>
    </row>
    <row r="108" spans="8:50">
      <c r="H108" s="54" t="s">
        <v>1226</v>
      </c>
      <c r="I108" s="119">
        <v>7192</v>
      </c>
      <c r="AR108" s="61" t="s">
        <v>584</v>
      </c>
      <c r="AS108" s="62">
        <v>3.0112834186438704</v>
      </c>
      <c r="AX108" s="75">
        <v>2.361111111111111E-2</v>
      </c>
    </row>
    <row r="109" spans="8:50">
      <c r="H109" s="54" t="s">
        <v>1226</v>
      </c>
      <c r="I109" s="119">
        <v>6399</v>
      </c>
      <c r="AR109" s="61" t="s">
        <v>585</v>
      </c>
      <c r="AS109" s="62">
        <v>3.6025152288202662</v>
      </c>
      <c r="AX109" s="75">
        <v>2.361111111111111E-2</v>
      </c>
    </row>
    <row r="110" spans="8:50">
      <c r="H110" s="54" t="s">
        <v>1226</v>
      </c>
      <c r="I110" s="119">
        <v>8093</v>
      </c>
      <c r="AR110" s="61" t="s">
        <v>586</v>
      </c>
      <c r="AS110" s="62">
        <v>5.2908352548256516</v>
      </c>
      <c r="AX110" s="75">
        <v>4.1666666666666664E-2</v>
      </c>
    </row>
    <row r="111" spans="8:50">
      <c r="H111" s="54" t="s">
        <v>1226</v>
      </c>
      <c r="I111" s="119">
        <v>8154</v>
      </c>
      <c r="AR111" s="61" t="s">
        <v>587</v>
      </c>
      <c r="AS111" s="62">
        <v>3.4110302143089939</v>
      </c>
      <c r="AX111" s="75">
        <v>5.9722222222222225E-2</v>
      </c>
    </row>
    <row r="112" spans="8:50">
      <c r="H112" s="54" t="s">
        <v>1226</v>
      </c>
      <c r="I112" s="119">
        <v>6871</v>
      </c>
      <c r="AR112" s="61" t="s">
        <v>588</v>
      </c>
      <c r="AS112" s="62">
        <v>1.2937106324243359</v>
      </c>
      <c r="AX112" s="75">
        <v>3.4027777777777775E-2</v>
      </c>
    </row>
    <row r="113" spans="8:50">
      <c r="H113" s="54" t="s">
        <v>1226</v>
      </c>
      <c r="I113" s="119">
        <v>6333</v>
      </c>
      <c r="AR113" s="61" t="s">
        <v>589</v>
      </c>
      <c r="AS113" s="62">
        <v>4.256175892194733</v>
      </c>
      <c r="AX113" s="75">
        <v>4.9999999999999996E-2</v>
      </c>
    </row>
    <row r="114" spans="8:50">
      <c r="H114" s="54" t="s">
        <v>1226</v>
      </c>
      <c r="I114" s="119">
        <v>6736</v>
      </c>
      <c r="AR114" s="61" t="s">
        <v>590</v>
      </c>
      <c r="AS114" s="62">
        <v>2.3172514223260805</v>
      </c>
      <c r="AX114" s="75">
        <v>4.027777777777778E-2</v>
      </c>
    </row>
    <row r="115" spans="8:50">
      <c r="H115" s="54" t="s">
        <v>1226</v>
      </c>
      <c r="I115" s="119">
        <v>7536</v>
      </c>
      <c r="AR115" s="61" t="s">
        <v>591</v>
      </c>
      <c r="AS115" s="62">
        <v>2.188478341238806</v>
      </c>
      <c r="AX115" s="75">
        <v>2.013888888888889E-2</v>
      </c>
    </row>
    <row r="116" spans="8:50">
      <c r="H116" s="54" t="s">
        <v>1226</v>
      </c>
      <c r="I116" s="119">
        <v>6340</v>
      </c>
      <c r="AR116" s="61" t="s">
        <v>592</v>
      </c>
      <c r="AS116" s="62">
        <v>3.1682064976193942</v>
      </c>
      <c r="AX116" s="75">
        <v>4.5833333333333337E-2</v>
      </c>
    </row>
    <row r="117" spans="8:50">
      <c r="H117" s="54" t="s">
        <v>1226</v>
      </c>
      <c r="I117" s="119">
        <v>9117</v>
      </c>
      <c r="AR117" s="61" t="s">
        <v>593</v>
      </c>
      <c r="AS117" s="62">
        <v>2.7191594047762919</v>
      </c>
      <c r="AX117" s="75">
        <v>2.2916666666666669E-2</v>
      </c>
    </row>
    <row r="118" spans="8:50">
      <c r="H118" s="54" t="s">
        <v>1226</v>
      </c>
      <c r="I118" s="119">
        <v>8494</v>
      </c>
      <c r="AR118" s="61" t="s">
        <v>594</v>
      </c>
      <c r="AS118" s="62">
        <v>4.0872531674976926</v>
      </c>
      <c r="AX118" s="75">
        <v>5.347222222222222E-2</v>
      </c>
    </row>
    <row r="119" spans="8:50">
      <c r="H119" s="54" t="s">
        <v>1226</v>
      </c>
      <c r="I119" s="119">
        <v>5211</v>
      </c>
      <c r="AR119" s="61" t="s">
        <v>595</v>
      </c>
      <c r="AS119" s="62">
        <v>2.2554717209713999</v>
      </c>
      <c r="AX119" s="75">
        <v>3.2638888888888891E-2</v>
      </c>
    </row>
    <row r="120" spans="8:50">
      <c r="H120" s="54" t="s">
        <v>1226</v>
      </c>
      <c r="I120" s="119">
        <v>5299</v>
      </c>
      <c r="AR120" s="61" t="s">
        <v>596</v>
      </c>
      <c r="AS120" s="62">
        <v>2.9240787929011276</v>
      </c>
      <c r="AX120" s="75">
        <v>4.5138888888888888E-2</v>
      </c>
    </row>
    <row r="121" spans="8:50">
      <c r="H121" s="54" t="s">
        <v>1226</v>
      </c>
      <c r="I121" s="119">
        <v>12290</v>
      </c>
      <c r="AR121" s="61" t="s">
        <v>597</v>
      </c>
      <c r="AS121" s="62">
        <v>1.9525008459168021</v>
      </c>
      <c r="AX121" s="75">
        <v>1.8055555555555557E-2</v>
      </c>
    </row>
    <row r="122" spans="8:50">
      <c r="H122" s="54" t="s">
        <v>1226</v>
      </c>
      <c r="I122" s="119">
        <v>8497</v>
      </c>
      <c r="AR122" s="61" t="s">
        <v>598</v>
      </c>
      <c r="AS122" s="62">
        <v>1.8564604791463353</v>
      </c>
      <c r="AX122" s="75">
        <v>2.4999999999999998E-2</v>
      </c>
    </row>
    <row r="123" spans="8:50">
      <c r="H123" s="54" t="s">
        <v>1226</v>
      </c>
      <c r="I123" s="119">
        <v>6569</v>
      </c>
      <c r="AR123" s="61" t="s">
        <v>599</v>
      </c>
      <c r="AS123" s="62">
        <v>5.9445072868838906</v>
      </c>
      <c r="AX123" s="75">
        <v>1.9444444444444445E-2</v>
      </c>
    </row>
    <row r="124" spans="8:50">
      <c r="H124" s="54" t="s">
        <v>1226</v>
      </c>
      <c r="I124" s="119">
        <v>5622</v>
      </c>
      <c r="AR124" s="61" t="s">
        <v>600</v>
      </c>
      <c r="AS124" s="62">
        <v>4.4074066712055355</v>
      </c>
      <c r="AX124" s="75">
        <v>1.7361111111111112E-2</v>
      </c>
    </row>
    <row r="125" spans="8:50">
      <c r="H125" s="54" t="s">
        <v>1226</v>
      </c>
      <c r="I125" s="119">
        <v>7262</v>
      </c>
      <c r="AR125" s="61" t="s">
        <v>601</v>
      </c>
      <c r="AS125" s="62">
        <v>1.9542220646399073</v>
      </c>
      <c r="AX125" s="75">
        <v>1.9444444444444445E-2</v>
      </c>
    </row>
    <row r="126" spans="8:50">
      <c r="H126" s="54" t="s">
        <v>1226</v>
      </c>
      <c r="I126" s="119">
        <v>7785</v>
      </c>
      <c r="AR126" s="61" t="s">
        <v>602</v>
      </c>
      <c r="AS126" s="62">
        <v>2.0227388479979709</v>
      </c>
      <c r="AX126" s="75">
        <v>5.6944444444444443E-2</v>
      </c>
    </row>
    <row r="127" spans="8:50">
      <c r="H127" s="54" t="s">
        <v>1226</v>
      </c>
      <c r="I127" s="119">
        <v>5099</v>
      </c>
      <c r="AR127" s="61" t="s">
        <v>603</v>
      </c>
      <c r="AS127" s="62">
        <v>2.9519786797463894</v>
      </c>
      <c r="AX127" s="75">
        <v>2.7777777777777776E-2</v>
      </c>
    </row>
    <row r="128" spans="8:50">
      <c r="H128" s="54" t="s">
        <v>1226</v>
      </c>
      <c r="I128" s="119">
        <v>6775</v>
      </c>
      <c r="AR128" s="61" t="s">
        <v>604</v>
      </c>
      <c r="AS128" s="62">
        <v>3.116810952022206</v>
      </c>
      <c r="AX128" s="75">
        <v>1.7361111111111112E-2</v>
      </c>
    </row>
    <row r="129" spans="8:50" ht="13.5" thickBot="1">
      <c r="H129" s="54" t="s">
        <v>1226</v>
      </c>
      <c r="I129" s="119">
        <v>6478</v>
      </c>
      <c r="AR129" s="61" t="s">
        <v>605</v>
      </c>
      <c r="AS129" s="62">
        <v>2.911105987848714</v>
      </c>
      <c r="AX129" s="77">
        <v>1.1805555555555555E-2</v>
      </c>
    </row>
    <row r="130" spans="8:50">
      <c r="H130" s="54" t="s">
        <v>1226</v>
      </c>
      <c r="I130" s="119">
        <v>6460</v>
      </c>
      <c r="AR130" s="61" t="s">
        <v>606</v>
      </c>
      <c r="AS130" s="62">
        <v>2.6957649273099378</v>
      </c>
    </row>
    <row r="131" spans="8:50">
      <c r="H131" s="54" t="s">
        <v>1226</v>
      </c>
      <c r="I131" s="119">
        <v>7258</v>
      </c>
      <c r="AR131" s="61" t="s">
        <v>607</v>
      </c>
      <c r="AS131" s="62">
        <v>1.5733848006930202</v>
      </c>
    </row>
    <row r="132" spans="8:50">
      <c r="H132" s="54" t="s">
        <v>1226</v>
      </c>
      <c r="I132" s="119">
        <v>9514</v>
      </c>
      <c r="AR132" s="61" t="s">
        <v>608</v>
      </c>
      <c r="AS132" s="62">
        <v>3.8131178219628055</v>
      </c>
    </row>
    <row r="133" spans="8:50">
      <c r="H133" s="54" t="s">
        <v>1226</v>
      </c>
      <c r="I133" s="119">
        <v>7815</v>
      </c>
      <c r="AR133" s="61" t="s">
        <v>609</v>
      </c>
      <c r="AS133" s="62">
        <v>2.5476559888629708</v>
      </c>
    </row>
    <row r="134" spans="8:50">
      <c r="H134" s="54" t="s">
        <v>1226</v>
      </c>
      <c r="I134" s="119">
        <v>8171</v>
      </c>
      <c r="AR134" s="61" t="s">
        <v>610</v>
      </c>
      <c r="AS134" s="62">
        <v>4.3683302313438617</v>
      </c>
    </row>
    <row r="135" spans="8:50">
      <c r="H135" s="54" t="s">
        <v>1226</v>
      </c>
      <c r="I135" s="119">
        <v>9120</v>
      </c>
      <c r="AR135" s="61" t="s">
        <v>611</v>
      </c>
      <c r="AS135" s="62">
        <v>2.7476948010444175</v>
      </c>
    </row>
    <row r="136" spans="8:50">
      <c r="H136" s="54" t="s">
        <v>1226</v>
      </c>
      <c r="I136" s="119">
        <v>6824</v>
      </c>
      <c r="AR136" s="61" t="s">
        <v>612</v>
      </c>
      <c r="AS136" s="62">
        <v>2.2247376212617382</v>
      </c>
    </row>
    <row r="137" spans="8:50">
      <c r="H137" s="54" t="s">
        <v>1226</v>
      </c>
      <c r="I137" s="119">
        <v>6207</v>
      </c>
      <c r="AR137" s="61" t="s">
        <v>613</v>
      </c>
      <c r="AS137" s="62">
        <v>2.5567043242772343</v>
      </c>
    </row>
    <row r="138" spans="8:50">
      <c r="H138" s="54" t="s">
        <v>1226</v>
      </c>
      <c r="I138" s="119">
        <v>4652</v>
      </c>
      <c r="AR138" s="61" t="s">
        <v>614</v>
      </c>
      <c r="AS138" s="62">
        <v>3.2912815944000613</v>
      </c>
    </row>
    <row r="139" spans="8:50">
      <c r="H139" s="54" t="s">
        <v>1226</v>
      </c>
      <c r="I139" s="119">
        <v>4567</v>
      </c>
      <c r="AR139" s="61" t="s">
        <v>615</v>
      </c>
      <c r="AS139" s="62">
        <v>2.9412534634757321</v>
      </c>
    </row>
    <row r="140" spans="8:50">
      <c r="H140" s="54" t="s">
        <v>1226</v>
      </c>
      <c r="I140" s="119">
        <v>6001</v>
      </c>
      <c r="AR140" s="61" t="s">
        <v>616</v>
      </c>
      <c r="AS140" s="62">
        <v>3.1021112439048011</v>
      </c>
    </row>
    <row r="141" spans="8:50">
      <c r="H141" s="54" t="s">
        <v>1226</v>
      </c>
      <c r="I141" s="119">
        <v>7877</v>
      </c>
      <c r="AR141" s="61" t="s">
        <v>617</v>
      </c>
      <c r="AS141" s="62">
        <v>2.9341252987505868</v>
      </c>
    </row>
    <row r="142" spans="8:50">
      <c r="H142" s="54" t="s">
        <v>1226</v>
      </c>
      <c r="I142" s="119">
        <v>8377</v>
      </c>
      <c r="AR142" s="61" t="s">
        <v>618</v>
      </c>
      <c r="AS142" s="62">
        <v>3.1797798176994547</v>
      </c>
    </row>
    <row r="143" spans="8:50">
      <c r="H143" s="54" t="s">
        <v>1226</v>
      </c>
      <c r="I143" s="119">
        <v>6727</v>
      </c>
      <c r="AR143" s="61" t="s">
        <v>619</v>
      </c>
      <c r="AS143" s="62">
        <v>2.3845926837821025</v>
      </c>
    </row>
    <row r="144" spans="8:50">
      <c r="H144" s="54" t="s">
        <v>1226</v>
      </c>
      <c r="I144" s="119">
        <v>6816</v>
      </c>
      <c r="AR144" s="61" t="s">
        <v>620</v>
      </c>
      <c r="AS144" s="62">
        <v>3.4138610165682621</v>
      </c>
    </row>
    <row r="145" spans="8:45">
      <c r="H145" s="54" t="s">
        <v>1226</v>
      </c>
      <c r="I145" s="119">
        <v>4582</v>
      </c>
      <c r="AR145" s="61" t="s">
        <v>621</v>
      </c>
      <c r="AS145" s="62">
        <v>2.0158107721072156</v>
      </c>
    </row>
    <row r="146" spans="8:45">
      <c r="H146" s="54" t="s">
        <v>1226</v>
      </c>
      <c r="I146" s="119">
        <v>7771</v>
      </c>
      <c r="AR146" s="61" t="s">
        <v>622</v>
      </c>
      <c r="AS146" s="62">
        <v>3.6342838787531946</v>
      </c>
    </row>
    <row r="147" spans="8:45">
      <c r="H147" s="54" t="s">
        <v>1226</v>
      </c>
      <c r="I147" s="119">
        <v>7886</v>
      </c>
      <c r="AR147" s="61" t="s">
        <v>623</v>
      </c>
      <c r="AS147" s="62">
        <v>4.5993418855941854</v>
      </c>
    </row>
    <row r="148" spans="8:45">
      <c r="H148" s="54" t="s">
        <v>1226</v>
      </c>
      <c r="I148" s="119">
        <v>6860</v>
      </c>
      <c r="AR148" s="61" t="s">
        <v>624</v>
      </c>
      <c r="AS148" s="62">
        <v>3.0148793333210051</v>
      </c>
    </row>
    <row r="149" spans="8:45">
      <c r="H149" s="54" t="s">
        <v>1226</v>
      </c>
      <c r="I149" s="119">
        <v>9694</v>
      </c>
      <c r="AR149" s="61" t="s">
        <v>625</v>
      </c>
      <c r="AS149" s="62">
        <v>3.948439264902845</v>
      </c>
    </row>
    <row r="150" spans="8:45">
      <c r="H150" s="54" t="s">
        <v>1226</v>
      </c>
      <c r="I150" s="119">
        <v>9139</v>
      </c>
      <c r="AR150" s="61" t="s">
        <v>626</v>
      </c>
      <c r="AS150" s="62">
        <v>3.4271487341611646</v>
      </c>
    </row>
    <row r="151" spans="8:45">
      <c r="H151" s="54" t="s">
        <v>1226</v>
      </c>
      <c r="I151" s="119">
        <v>5440</v>
      </c>
      <c r="AR151" s="61" t="s">
        <v>627</v>
      </c>
      <c r="AS151" s="62">
        <v>3.7771222954033874</v>
      </c>
    </row>
    <row r="152" spans="8:45">
      <c r="H152" s="54" t="s">
        <v>1226</v>
      </c>
      <c r="I152" s="119">
        <v>6304</v>
      </c>
      <c r="AR152" s="61" t="s">
        <v>628</v>
      </c>
      <c r="AS152" s="62">
        <v>4.4911211110302247</v>
      </c>
    </row>
    <row r="153" spans="8:45">
      <c r="H153" s="54" t="s">
        <v>1226</v>
      </c>
      <c r="I153" s="119">
        <v>4928</v>
      </c>
      <c r="AR153" s="61" t="s">
        <v>629</v>
      </c>
      <c r="AS153" s="62">
        <v>2.6101894339517457</v>
      </c>
    </row>
    <row r="154" spans="8:45">
      <c r="H154" s="54" t="s">
        <v>1226</v>
      </c>
      <c r="I154" s="119">
        <v>7321</v>
      </c>
      <c r="AR154" s="61" t="s">
        <v>630</v>
      </c>
      <c r="AS154" s="62">
        <v>4.2876080290880054</v>
      </c>
    </row>
    <row r="155" spans="8:45">
      <c r="H155" s="54" t="s">
        <v>1226</v>
      </c>
      <c r="I155" s="119">
        <v>6319</v>
      </c>
      <c r="AR155" s="61" t="s">
        <v>631</v>
      </c>
      <c r="AS155" s="62">
        <v>1.8289641805749852</v>
      </c>
    </row>
    <row r="156" spans="8:45">
      <c r="H156" s="54"/>
      <c r="I156" s="119"/>
      <c r="AR156" s="61" t="s">
        <v>632</v>
      </c>
      <c r="AS156" s="62">
        <v>2.9492217739316402</v>
      </c>
    </row>
    <row r="157" spans="8:45">
      <c r="H157" s="54" t="s">
        <v>1227</v>
      </c>
      <c r="I157" s="119">
        <v>6976</v>
      </c>
      <c r="AR157" s="61" t="s">
        <v>633</v>
      </c>
      <c r="AS157" s="62">
        <v>4.2408327165758237</v>
      </c>
    </row>
    <row r="158" spans="8:45">
      <c r="H158" s="54" t="s">
        <v>1227</v>
      </c>
      <c r="I158" s="119">
        <v>4589</v>
      </c>
      <c r="AR158" s="61" t="s">
        <v>634</v>
      </c>
      <c r="AS158" s="62">
        <v>1.3690850058337674</v>
      </c>
    </row>
    <row r="159" spans="8:45">
      <c r="H159" s="54" t="s">
        <v>1227</v>
      </c>
      <c r="I159" s="119">
        <v>7299</v>
      </c>
      <c r="AR159" s="61" t="s">
        <v>635</v>
      </c>
      <c r="AS159" s="62">
        <v>2.4238760336884297</v>
      </c>
    </row>
    <row r="160" spans="8:45">
      <c r="H160" s="54" t="s">
        <v>1227</v>
      </c>
      <c r="I160" s="119">
        <v>8344</v>
      </c>
      <c r="AR160" s="61" t="s">
        <v>636</v>
      </c>
      <c r="AS160" s="62">
        <v>2.3823723798413994</v>
      </c>
    </row>
    <row r="161" spans="8:45">
      <c r="H161" s="54" t="s">
        <v>1227</v>
      </c>
      <c r="I161" s="119">
        <v>8061</v>
      </c>
      <c r="AR161" s="61" t="s">
        <v>637</v>
      </c>
      <c r="AS161" s="62">
        <v>2.6772021404467523</v>
      </c>
    </row>
    <row r="162" spans="8:45">
      <c r="H162" s="54" t="s">
        <v>1227</v>
      </c>
      <c r="I162" s="119">
        <v>5196</v>
      </c>
      <c r="AR162" s="61" t="s">
        <v>638</v>
      </c>
      <c r="AS162" s="62">
        <v>1.5301610649912618</v>
      </c>
    </row>
    <row r="163" spans="8:45">
      <c r="H163" s="54" t="s">
        <v>1227</v>
      </c>
      <c r="I163" s="119">
        <v>4853</v>
      </c>
      <c r="AR163" s="61" t="s">
        <v>639</v>
      </c>
      <c r="AS163" s="62">
        <v>3.9681752999313176</v>
      </c>
    </row>
    <row r="164" spans="8:45">
      <c r="H164" s="54" t="s">
        <v>1227</v>
      </c>
      <c r="I164" s="119">
        <v>6304</v>
      </c>
      <c r="AR164" s="61" t="s">
        <v>640</v>
      </c>
      <c r="AS164" s="62">
        <v>3.8581309884903021</v>
      </c>
    </row>
    <row r="165" spans="8:45">
      <c r="H165" s="54" t="s">
        <v>1227</v>
      </c>
      <c r="I165" s="119">
        <v>6508</v>
      </c>
      <c r="AR165" s="61" t="s">
        <v>641</v>
      </c>
      <c r="AS165" s="62">
        <v>1.9310754244797863</v>
      </c>
    </row>
    <row r="166" spans="8:45">
      <c r="H166" s="54" t="s">
        <v>1227</v>
      </c>
      <c r="I166" s="119">
        <v>6817</v>
      </c>
      <c r="AR166" s="61" t="s">
        <v>642</v>
      </c>
      <c r="AS166" s="62">
        <v>3.8013557817321271</v>
      </c>
    </row>
    <row r="167" spans="8:45">
      <c r="H167" s="54" t="s">
        <v>1227</v>
      </c>
      <c r="I167" s="119">
        <v>7808</v>
      </c>
      <c r="AR167" s="61" t="s">
        <v>643</v>
      </c>
      <c r="AS167" s="62">
        <v>1.8752369972644374</v>
      </c>
    </row>
    <row r="168" spans="8:45">
      <c r="H168" s="54" t="s">
        <v>1227</v>
      </c>
      <c r="I168" s="119">
        <v>7262</v>
      </c>
      <c r="AR168" s="61" t="s">
        <v>644</v>
      </c>
      <c r="AS168" s="62">
        <v>5.257329470012337</v>
      </c>
    </row>
    <row r="169" spans="8:45">
      <c r="H169" s="54" t="s">
        <v>1227</v>
      </c>
      <c r="I169" s="119">
        <v>6276</v>
      </c>
      <c r="AR169" s="61" t="s">
        <v>645</v>
      </c>
      <c r="AS169" s="62">
        <v>1.7130922818323597</v>
      </c>
    </row>
    <row r="170" spans="8:45">
      <c r="H170" s="54" t="s">
        <v>1227</v>
      </c>
      <c r="I170" s="119">
        <v>5318</v>
      </c>
      <c r="AR170" s="61" t="s">
        <v>646</v>
      </c>
      <c r="AS170" s="62">
        <v>2.2045354701986071</v>
      </c>
    </row>
    <row r="171" spans="8:45">
      <c r="H171" s="54" t="s">
        <v>1227</v>
      </c>
      <c r="I171" s="119">
        <v>7734</v>
      </c>
      <c r="AR171" s="61" t="s">
        <v>647</v>
      </c>
      <c r="AS171" s="62">
        <v>3.0762281615607208</v>
      </c>
    </row>
    <row r="172" spans="8:45">
      <c r="H172" s="54" t="s">
        <v>1227</v>
      </c>
      <c r="I172" s="119">
        <v>8568</v>
      </c>
      <c r="AR172" s="61" t="s">
        <v>648</v>
      </c>
      <c r="AS172" s="62">
        <v>1.695379872515332</v>
      </c>
    </row>
    <row r="173" spans="8:45">
      <c r="H173" s="54" t="s">
        <v>1227</v>
      </c>
      <c r="I173" s="119">
        <v>7401</v>
      </c>
      <c r="AR173" s="61" t="s">
        <v>649</v>
      </c>
      <c r="AS173" s="62">
        <v>4.0828443919308484</v>
      </c>
    </row>
    <row r="174" spans="8:45">
      <c r="H174" s="54" t="s">
        <v>1227</v>
      </c>
      <c r="I174" s="119">
        <v>7013</v>
      </c>
      <c r="AR174" s="61" t="s">
        <v>650</v>
      </c>
      <c r="AS174" s="62">
        <v>3.366310359822819</v>
      </c>
    </row>
    <row r="175" spans="8:45">
      <c r="H175" s="54" t="s">
        <v>1227</v>
      </c>
      <c r="I175" s="119">
        <v>8316</v>
      </c>
      <c r="AR175" s="61" t="s">
        <v>651</v>
      </c>
      <c r="AS175" s="62">
        <v>2.1088998285704292</v>
      </c>
    </row>
    <row r="176" spans="8:45">
      <c r="H176" s="54" t="s">
        <v>1227</v>
      </c>
      <c r="I176" s="119">
        <v>6602</v>
      </c>
      <c r="AR176" s="61" t="s">
        <v>652</v>
      </c>
      <c r="AS176" s="62">
        <v>1.0877873895224184</v>
      </c>
    </row>
    <row r="177" spans="8:45">
      <c r="H177" s="54" t="s">
        <v>1227</v>
      </c>
      <c r="I177" s="119">
        <v>7615</v>
      </c>
      <c r="AR177" s="61" t="s">
        <v>653</v>
      </c>
      <c r="AS177" s="62">
        <v>1.9860725690959953</v>
      </c>
    </row>
    <row r="178" spans="8:45">
      <c r="H178" s="54" t="s">
        <v>1227</v>
      </c>
      <c r="I178" s="119">
        <v>5160</v>
      </c>
      <c r="AR178" s="61" t="s">
        <v>654</v>
      </c>
      <c r="AS178" s="62">
        <v>1.7940873324987479</v>
      </c>
    </row>
    <row r="179" spans="8:45">
      <c r="H179" s="54" t="s">
        <v>1227</v>
      </c>
      <c r="I179" s="119">
        <v>7546</v>
      </c>
      <c r="AR179" s="61" t="s">
        <v>655</v>
      </c>
      <c r="AS179" s="62">
        <v>3.9410291568201501</v>
      </c>
    </row>
    <row r="180" spans="8:45">
      <c r="H180" s="54" t="s">
        <v>1227</v>
      </c>
      <c r="I180" s="119">
        <v>5803</v>
      </c>
      <c r="AR180" s="61" t="s">
        <v>656</v>
      </c>
      <c r="AS180" s="62">
        <v>3.2282888544868911</v>
      </c>
    </row>
    <row r="181" spans="8:45">
      <c r="H181" s="54" t="s">
        <v>1227</v>
      </c>
      <c r="I181" s="119">
        <v>6708</v>
      </c>
      <c r="AR181" s="61" t="s">
        <v>657</v>
      </c>
      <c r="AS181" s="62">
        <v>1.6695047482498921</v>
      </c>
    </row>
    <row r="182" spans="8:45">
      <c r="H182" s="54" t="s">
        <v>1227</v>
      </c>
      <c r="I182" s="119">
        <v>6139</v>
      </c>
      <c r="AR182" s="61" t="s">
        <v>658</v>
      </c>
      <c r="AS182" s="62">
        <v>2.2201833265426103</v>
      </c>
    </row>
    <row r="183" spans="8:45">
      <c r="H183" s="54" t="s">
        <v>1227</v>
      </c>
      <c r="I183" s="119">
        <v>6019</v>
      </c>
      <c r="AR183" s="61" t="s">
        <v>659</v>
      </c>
      <c r="AS183" s="62">
        <v>2.8153202795947436</v>
      </c>
    </row>
    <row r="184" spans="8:45">
      <c r="H184" s="54" t="s">
        <v>1227</v>
      </c>
      <c r="I184" s="119">
        <v>6418</v>
      </c>
      <c r="AR184" s="61" t="s">
        <v>660</v>
      </c>
      <c r="AS184" s="62">
        <v>1.7424735081731342</v>
      </c>
    </row>
    <row r="185" spans="8:45">
      <c r="H185" s="54" t="s">
        <v>1227</v>
      </c>
      <c r="I185" s="119">
        <v>4771</v>
      </c>
      <c r="AR185" s="61" t="s">
        <v>661</v>
      </c>
      <c r="AS185" s="62">
        <v>2.9003489392634947</v>
      </c>
    </row>
    <row r="186" spans="8:45">
      <c r="H186" s="54" t="s">
        <v>1227</v>
      </c>
      <c r="I186" s="119">
        <v>5295</v>
      </c>
      <c r="AR186" s="61" t="s">
        <v>662</v>
      </c>
      <c r="AS186" s="62">
        <v>3.9127006705966778</v>
      </c>
    </row>
    <row r="187" spans="8:45">
      <c r="H187" s="54" t="s">
        <v>1227</v>
      </c>
      <c r="I187" s="119">
        <v>7168</v>
      </c>
      <c r="AR187" s="61" t="s">
        <v>663</v>
      </c>
      <c r="AS187" s="62">
        <v>2.090196070028469</v>
      </c>
    </row>
    <row r="188" spans="8:45">
      <c r="H188" s="54" t="s">
        <v>1227</v>
      </c>
      <c r="I188" s="119">
        <v>5274</v>
      </c>
      <c r="AR188" s="61" t="s">
        <v>664</v>
      </c>
      <c r="AS188" s="62">
        <v>1.8100762493559159</v>
      </c>
    </row>
    <row r="189" spans="8:45">
      <c r="H189" s="54" t="s">
        <v>1227</v>
      </c>
      <c r="I189" s="119">
        <v>7508</v>
      </c>
      <c r="AR189" s="61" t="s">
        <v>665</v>
      </c>
      <c r="AS189" s="62">
        <v>3.6006825969961938</v>
      </c>
    </row>
    <row r="190" spans="8:45">
      <c r="H190" s="54" t="s">
        <v>1227</v>
      </c>
      <c r="I190" s="119">
        <v>8514</v>
      </c>
      <c r="AR190" s="61" t="s">
        <v>666</v>
      </c>
      <c r="AS190" s="62">
        <v>3.5429319571703672</v>
      </c>
    </row>
    <row r="191" spans="8:45">
      <c r="H191" s="54" t="s">
        <v>1227</v>
      </c>
      <c r="I191" s="119">
        <v>6440</v>
      </c>
      <c r="AR191" s="61" t="s">
        <v>667</v>
      </c>
      <c r="AS191" s="62">
        <v>3.4705543688032776</v>
      </c>
    </row>
    <row r="192" spans="8:45">
      <c r="H192" s="54" t="s">
        <v>1227</v>
      </c>
      <c r="I192" s="119">
        <v>5958</v>
      </c>
      <c r="AR192" s="61" t="s">
        <v>668</v>
      </c>
      <c r="AS192" s="62">
        <v>2.9930764715827536</v>
      </c>
    </row>
    <row r="193" spans="8:45">
      <c r="H193" s="54" t="s">
        <v>1227</v>
      </c>
      <c r="I193" s="119">
        <v>5519</v>
      </c>
      <c r="AR193" s="61" t="s">
        <v>669</v>
      </c>
      <c r="AS193" s="62">
        <v>4.1032807378796861</v>
      </c>
    </row>
    <row r="194" spans="8:45">
      <c r="H194" s="54" t="s">
        <v>1227</v>
      </c>
      <c r="I194" s="119">
        <v>6960</v>
      </c>
      <c r="AR194" s="61" t="s">
        <v>670</v>
      </c>
      <c r="AS194" s="62">
        <v>3.5307401806931011</v>
      </c>
    </row>
    <row r="195" spans="8:45">
      <c r="H195" s="54" t="s">
        <v>1227</v>
      </c>
      <c r="I195" s="119">
        <v>7238</v>
      </c>
      <c r="AR195" s="61" t="s">
        <v>671</v>
      </c>
      <c r="AS195" s="62">
        <v>3.520462890563067</v>
      </c>
    </row>
    <row r="196" spans="8:45">
      <c r="H196" s="54" t="s">
        <v>1227</v>
      </c>
      <c r="I196" s="119">
        <v>6027</v>
      </c>
      <c r="AR196" s="61" t="s">
        <v>672</v>
      </c>
      <c r="AS196" s="62">
        <v>3.515913143317448</v>
      </c>
    </row>
    <row r="197" spans="8:45">
      <c r="H197" s="54" t="s">
        <v>1227</v>
      </c>
      <c r="I197" s="119">
        <v>8401</v>
      </c>
      <c r="AR197" s="61" t="s">
        <v>673</v>
      </c>
      <c r="AS197" s="62">
        <v>3.539301936441916</v>
      </c>
    </row>
    <row r="198" spans="8:45">
      <c r="H198" s="54"/>
      <c r="I198" s="119"/>
      <c r="AR198" s="61" t="s">
        <v>674</v>
      </c>
      <c r="AS198" s="62">
        <v>2.3923393049044535</v>
      </c>
    </row>
    <row r="199" spans="8:45">
      <c r="H199" s="54" t="s">
        <v>1228</v>
      </c>
      <c r="I199" s="119">
        <v>6289</v>
      </c>
      <c r="AR199" s="61" t="s">
        <v>675</v>
      </c>
      <c r="AS199" s="62">
        <v>2.9898636815487407</v>
      </c>
    </row>
    <row r="200" spans="8:45">
      <c r="H200" s="54" t="s">
        <v>1228</v>
      </c>
      <c r="I200" s="119">
        <v>7855</v>
      </c>
      <c r="AR200" s="61" t="s">
        <v>676</v>
      </c>
      <c r="AS200" s="62">
        <v>2.9024248609202914</v>
      </c>
    </row>
    <row r="201" spans="8:45">
      <c r="H201" s="54" t="s">
        <v>1228</v>
      </c>
      <c r="I201" s="119">
        <v>9907</v>
      </c>
      <c r="AR201" s="61" t="s">
        <v>677</v>
      </c>
      <c r="AS201" s="62">
        <v>4.4234456102713011</v>
      </c>
    </row>
    <row r="202" spans="8:45">
      <c r="H202" s="54" t="s">
        <v>1228</v>
      </c>
      <c r="I202" s="119">
        <v>5474</v>
      </c>
      <c r="AR202" s="61" t="s">
        <v>678</v>
      </c>
      <c r="AS202" s="62">
        <v>1.9796560839749873</v>
      </c>
    </row>
    <row r="203" spans="8:45">
      <c r="H203" s="54" t="s">
        <v>1228</v>
      </c>
      <c r="I203" s="119">
        <v>9430</v>
      </c>
      <c r="AR203" s="61" t="s">
        <v>679</v>
      </c>
      <c r="AS203" s="62">
        <v>1.3768429956398904</v>
      </c>
    </row>
    <row r="204" spans="8:45">
      <c r="H204" s="54" t="s">
        <v>1228</v>
      </c>
      <c r="I204" s="119">
        <v>8948</v>
      </c>
      <c r="AR204" s="61" t="s">
        <v>680</v>
      </c>
      <c r="AS204" s="62">
        <v>3.721113337931456</v>
      </c>
    </row>
    <row r="205" spans="8:45">
      <c r="H205" s="54" t="s">
        <v>1228</v>
      </c>
      <c r="I205" s="119">
        <v>9104</v>
      </c>
      <c r="AR205" s="61" t="s">
        <v>681</v>
      </c>
      <c r="AS205" s="62">
        <v>2.6282031133887358</v>
      </c>
    </row>
    <row r="206" spans="8:45">
      <c r="H206" s="54" t="s">
        <v>1228</v>
      </c>
      <c r="I206" s="119">
        <v>7240</v>
      </c>
      <c r="AR206" s="61" t="s">
        <v>682</v>
      </c>
      <c r="AS206" s="62">
        <v>1.3523730406886898</v>
      </c>
    </row>
    <row r="207" spans="8:45">
      <c r="H207" s="54" t="s">
        <v>1228</v>
      </c>
      <c r="I207" s="119">
        <v>5527</v>
      </c>
      <c r="AR207" s="61" t="s">
        <v>683</v>
      </c>
      <c r="AS207" s="62">
        <v>1.8425224728416651</v>
      </c>
    </row>
    <row r="208" spans="8:45">
      <c r="H208" s="54" t="s">
        <v>1228</v>
      </c>
      <c r="I208" s="119">
        <v>7096</v>
      </c>
      <c r="AR208" s="61" t="s">
        <v>684</v>
      </c>
      <c r="AS208" s="62">
        <v>2.3561448263790226</v>
      </c>
    </row>
    <row r="209" spans="8:45">
      <c r="H209" s="54" t="s">
        <v>1228</v>
      </c>
      <c r="I209" s="119">
        <v>5892</v>
      </c>
      <c r="AR209" s="61" t="s">
        <v>685</v>
      </c>
      <c r="AS209" s="62">
        <v>3.7833455129002687</v>
      </c>
    </row>
    <row r="210" spans="8:45">
      <c r="H210" s="54" t="s">
        <v>1228</v>
      </c>
      <c r="I210" s="119">
        <v>7607</v>
      </c>
      <c r="AR210" s="61" t="s">
        <v>686</v>
      </c>
      <c r="AS210" s="62">
        <v>4.2804571269953158</v>
      </c>
    </row>
    <row r="211" spans="8:45">
      <c r="H211" s="54" t="s">
        <v>1228</v>
      </c>
      <c r="I211" s="119">
        <v>7718</v>
      </c>
      <c r="AR211" s="61" t="s">
        <v>687</v>
      </c>
      <c r="AS211" s="62">
        <v>3.0952695700107142</v>
      </c>
    </row>
    <row r="212" spans="8:45">
      <c r="H212" s="54" t="s">
        <v>1228</v>
      </c>
      <c r="I212" s="119">
        <v>5518</v>
      </c>
      <c r="AR212" s="61" t="s">
        <v>688</v>
      </c>
      <c r="AS212" s="62">
        <v>0.84144165460020304</v>
      </c>
    </row>
    <row r="213" spans="8:45">
      <c r="H213" s="54" t="s">
        <v>1228</v>
      </c>
      <c r="I213" s="119">
        <v>5940</v>
      </c>
      <c r="AR213" s="61" t="s">
        <v>689</v>
      </c>
      <c r="AS213" s="62">
        <v>4.003620582196163</v>
      </c>
    </row>
    <row r="214" spans="8:45">
      <c r="H214" s="54" t="s">
        <v>1228</v>
      </c>
      <c r="I214" s="119">
        <v>7563</v>
      </c>
      <c r="AR214" s="61" t="s">
        <v>690</v>
      </c>
      <c r="AS214" s="62">
        <v>3.7680500857532024</v>
      </c>
    </row>
    <row r="215" spans="8:45">
      <c r="H215" s="54" t="s">
        <v>1228</v>
      </c>
      <c r="I215" s="119">
        <v>7546</v>
      </c>
      <c r="AR215" s="61" t="s">
        <v>691</v>
      </c>
      <c r="AS215" s="62">
        <v>3.3427680894674268</v>
      </c>
    </row>
    <row r="216" spans="8:45">
      <c r="H216" s="54" t="s">
        <v>1228</v>
      </c>
      <c r="I216" s="119">
        <v>6140</v>
      </c>
      <c r="AR216" s="61" t="s">
        <v>692</v>
      </c>
      <c r="AS216" s="62">
        <v>3.9410291568201501</v>
      </c>
    </row>
    <row r="217" spans="8:45">
      <c r="H217" s="54" t="s">
        <v>1228</v>
      </c>
      <c r="I217" s="119">
        <v>5296</v>
      </c>
      <c r="AR217" s="61" t="s">
        <v>693</v>
      </c>
      <c r="AS217" s="62">
        <v>2.2044308783079032</v>
      </c>
    </row>
    <row r="218" spans="8:45">
      <c r="H218" s="54" t="s">
        <v>1228</v>
      </c>
      <c r="I218" s="119">
        <v>6490</v>
      </c>
      <c r="AR218" s="61" t="s">
        <v>694</v>
      </c>
      <c r="AS218" s="62">
        <v>4.5719160728622228</v>
      </c>
    </row>
    <row r="219" spans="8:45">
      <c r="H219" s="54" t="s">
        <v>1228</v>
      </c>
      <c r="I219" s="119">
        <v>9954</v>
      </c>
      <c r="AR219" s="61" t="s">
        <v>695</v>
      </c>
      <c r="AS219" s="62">
        <v>2.3190863278869074</v>
      </c>
    </row>
    <row r="220" spans="8:45">
      <c r="H220" s="54"/>
      <c r="I220" s="119"/>
      <c r="AR220" s="61" t="s">
        <v>696</v>
      </c>
      <c r="AS220" s="62">
        <v>4.1720999282260891</v>
      </c>
    </row>
    <row r="221" spans="8:45">
      <c r="H221" s="54" t="s">
        <v>1229</v>
      </c>
      <c r="I221" s="119">
        <v>5729</v>
      </c>
      <c r="AR221" s="61" t="s">
        <v>697</v>
      </c>
      <c r="AS221" s="62">
        <v>3.6948698683117982</v>
      </c>
    </row>
    <row r="222" spans="8:45">
      <c r="H222" s="54" t="s">
        <v>1229</v>
      </c>
      <c r="I222" s="119">
        <v>9551</v>
      </c>
      <c r="AR222" s="61" t="s">
        <v>698</v>
      </c>
      <c r="AS222" s="62">
        <v>1.3845100359758362</v>
      </c>
    </row>
    <row r="223" spans="8:45">
      <c r="H223" s="54" t="s">
        <v>1229</v>
      </c>
      <c r="I223" s="119">
        <v>7778</v>
      </c>
      <c r="AR223" s="61" t="s">
        <v>699</v>
      </c>
      <c r="AS223" s="62">
        <v>1.9840239322802518</v>
      </c>
    </row>
    <row r="224" spans="8:45">
      <c r="H224" s="54" t="s">
        <v>1229</v>
      </c>
      <c r="I224" s="119">
        <v>5382</v>
      </c>
      <c r="AR224" s="61" t="s">
        <v>700</v>
      </c>
      <c r="AS224" s="62">
        <v>1.3514817358809523</v>
      </c>
    </row>
    <row r="225" spans="8:45">
      <c r="H225" s="54" t="s">
        <v>1229</v>
      </c>
      <c r="I225" s="119">
        <v>8949</v>
      </c>
      <c r="AR225" s="61" t="s">
        <v>701</v>
      </c>
      <c r="AS225" s="62">
        <v>3.641880433249753</v>
      </c>
    </row>
    <row r="226" spans="8:45">
      <c r="H226" s="54" t="s">
        <v>1229</v>
      </c>
      <c r="I226" s="119">
        <v>5320</v>
      </c>
      <c r="AR226" s="61" t="s">
        <v>702</v>
      </c>
      <c r="AS226" s="62">
        <v>1.8472927725524642</v>
      </c>
    </row>
    <row r="227" spans="8:45">
      <c r="H227" s="54" t="s">
        <v>1229</v>
      </c>
      <c r="I227" s="119">
        <v>10160</v>
      </c>
      <c r="AR227" s="61" t="s">
        <v>703</v>
      </c>
      <c r="AS227" s="62">
        <v>2.6750261743727606</v>
      </c>
    </row>
    <row r="228" spans="8:45">
      <c r="H228" s="54" t="s">
        <v>1229</v>
      </c>
      <c r="I228" s="119">
        <v>7430</v>
      </c>
      <c r="AR228" s="61" t="s">
        <v>704</v>
      </c>
      <c r="AS228" s="62">
        <v>3.2999115622515092</v>
      </c>
    </row>
    <row r="229" spans="8:45">
      <c r="H229" s="54" t="s">
        <v>1229</v>
      </c>
      <c r="I229" s="119">
        <v>15110</v>
      </c>
      <c r="AR229" s="61" t="s">
        <v>705</v>
      </c>
      <c r="AS229" s="62">
        <v>3.9049540494743269</v>
      </c>
    </row>
    <row r="230" spans="8:45">
      <c r="H230" s="54" t="s">
        <v>1229</v>
      </c>
      <c r="I230" s="119">
        <v>7899</v>
      </c>
      <c r="AR230" s="61" t="s">
        <v>706</v>
      </c>
      <c r="AS230" s="62">
        <v>2.1658341969014145</v>
      </c>
    </row>
    <row r="231" spans="8:45">
      <c r="H231" s="54" t="s">
        <v>1229</v>
      </c>
      <c r="I231" s="119">
        <v>7964</v>
      </c>
      <c r="AR231" s="61" t="s">
        <v>707</v>
      </c>
      <c r="AS231" s="62">
        <v>2.2706273133080686</v>
      </c>
    </row>
    <row r="232" spans="8:45">
      <c r="H232" s="54" t="s">
        <v>1229</v>
      </c>
      <c r="I232" s="119">
        <v>6125</v>
      </c>
      <c r="AR232" s="61" t="s">
        <v>708</v>
      </c>
      <c r="AS232" s="62">
        <v>3.4726064162241528</v>
      </c>
    </row>
    <row r="233" spans="8:45">
      <c r="H233" s="54" t="s">
        <v>1229</v>
      </c>
      <c r="I233" s="119">
        <v>7826</v>
      </c>
      <c r="AR233" s="61" t="s">
        <v>709</v>
      </c>
      <c r="AS233" s="62">
        <v>4.4051465768716298</v>
      </c>
    </row>
    <row r="234" spans="8:45">
      <c r="H234" s="54" t="s">
        <v>1229</v>
      </c>
      <c r="I234" s="119">
        <v>4513</v>
      </c>
      <c r="AR234" s="61" t="s">
        <v>710</v>
      </c>
      <c r="AS234" s="62">
        <v>2.547146671829978</v>
      </c>
    </row>
    <row r="235" spans="8:45">
      <c r="H235" s="54" t="s">
        <v>1229</v>
      </c>
      <c r="I235" s="119">
        <v>8496</v>
      </c>
      <c r="AR235" s="61" t="s">
        <v>711</v>
      </c>
      <c r="AS235" s="62">
        <v>3.3202194420737214</v>
      </c>
    </row>
    <row r="236" spans="8:45">
      <c r="H236" s="54" t="s">
        <v>1229</v>
      </c>
      <c r="I236" s="119">
        <v>6256</v>
      </c>
      <c r="AR236" s="61" t="s">
        <v>712</v>
      </c>
      <c r="AS236" s="62">
        <v>1.3209499987424351</v>
      </c>
    </row>
    <row r="237" spans="8:45">
      <c r="H237" s="54" t="s">
        <v>1229</v>
      </c>
      <c r="I237" s="119">
        <v>4619</v>
      </c>
      <c r="AR237" s="61" t="s">
        <v>713</v>
      </c>
      <c r="AS237" s="62">
        <v>3.5430206329037901</v>
      </c>
    </row>
    <row r="238" spans="8:45">
      <c r="H238" s="54" t="s">
        <v>1229</v>
      </c>
      <c r="I238" s="119">
        <v>9763</v>
      </c>
      <c r="AR238" s="61" t="s">
        <v>714</v>
      </c>
      <c r="AS238" s="62">
        <v>3.8201641321647912</v>
      </c>
    </row>
    <row r="239" spans="8:45">
      <c r="H239" s="54" t="s">
        <v>1229</v>
      </c>
      <c r="I239" s="119">
        <v>4421</v>
      </c>
      <c r="AR239" s="61" t="s">
        <v>715</v>
      </c>
      <c r="AS239" s="62">
        <v>2.5429902810428757</v>
      </c>
    </row>
    <row r="240" spans="8:45">
      <c r="H240" s="54" t="s">
        <v>1229</v>
      </c>
      <c r="I240" s="119">
        <v>6486</v>
      </c>
      <c r="AR240" s="61" t="s">
        <v>716</v>
      </c>
      <c r="AS240" s="62">
        <v>4.1549400369403884</v>
      </c>
    </row>
    <row r="241" spans="8:45">
      <c r="H241" s="54" t="s">
        <v>1229</v>
      </c>
      <c r="I241" s="119">
        <v>6736</v>
      </c>
      <c r="AR241" s="61" t="s">
        <v>717</v>
      </c>
      <c r="AS241" s="62">
        <v>3.6343782388285035</v>
      </c>
    </row>
    <row r="242" spans="8:45">
      <c r="H242" s="54" t="s">
        <v>1229</v>
      </c>
      <c r="I242" s="119">
        <v>6338</v>
      </c>
      <c r="AR242" s="61" t="s">
        <v>718</v>
      </c>
      <c r="AS242" s="62">
        <v>2.3950063981174026</v>
      </c>
    </row>
    <row r="243" spans="8:45">
      <c r="H243" s="54" t="s">
        <v>1229</v>
      </c>
      <c r="I243" s="119">
        <v>6959</v>
      </c>
      <c r="AR243" s="61" t="s">
        <v>719</v>
      </c>
      <c r="AS243" s="62">
        <v>3.8241340765380301</v>
      </c>
    </row>
    <row r="244" spans="8:45">
      <c r="H244" s="54" t="s">
        <v>1229</v>
      </c>
      <c r="I244" s="119">
        <v>7526</v>
      </c>
      <c r="AR244" s="61" t="s">
        <v>720</v>
      </c>
      <c r="AS244" s="62">
        <v>4.1913198250113055</v>
      </c>
    </row>
    <row r="245" spans="8:45" ht="13.5" thickBot="1">
      <c r="H245" s="57" t="s">
        <v>1229</v>
      </c>
      <c r="I245" s="120">
        <v>10544</v>
      </c>
      <c r="AR245" s="61" t="s">
        <v>721</v>
      </c>
      <c r="AS245" s="62">
        <v>1.0346910888329148</v>
      </c>
    </row>
    <row r="246" spans="8:45">
      <c r="AR246" s="61" t="s">
        <v>722</v>
      </c>
      <c r="AS246" s="62">
        <v>3.7213111530290917</v>
      </c>
    </row>
    <row r="247" spans="8:45">
      <c r="AR247" s="61" t="s">
        <v>723</v>
      </c>
      <c r="AS247" s="62">
        <v>2.7589725353464019</v>
      </c>
    </row>
    <row r="248" spans="8:45">
      <c r="AR248" s="61" t="s">
        <v>724</v>
      </c>
      <c r="AS248" s="62">
        <v>2.6020869730273262</v>
      </c>
    </row>
    <row r="249" spans="8:45">
      <c r="AR249" s="61" t="s">
        <v>725</v>
      </c>
      <c r="AS249" s="62">
        <v>1.8139506967854686</v>
      </c>
    </row>
    <row r="250" spans="8:45">
      <c r="AR250" s="61" t="s">
        <v>726</v>
      </c>
      <c r="AS250" s="62">
        <v>5.2022140910848975</v>
      </c>
    </row>
    <row r="251" spans="8:45">
      <c r="AR251" s="61" t="s">
        <v>727</v>
      </c>
      <c r="AS251" s="62">
        <v>2.7960651398898335</v>
      </c>
    </row>
    <row r="252" spans="8:45">
      <c r="AR252" s="61" t="s">
        <v>728</v>
      </c>
      <c r="AS252" s="62">
        <v>3.5833635441376828</v>
      </c>
    </row>
    <row r="253" spans="8:45">
      <c r="AR253" s="61" t="s">
        <v>729</v>
      </c>
      <c r="AS253" s="62">
        <v>2.6784913491865154</v>
      </c>
    </row>
    <row r="254" spans="8:45">
      <c r="AR254" s="61" t="s">
        <v>730</v>
      </c>
      <c r="AS254" s="62">
        <v>2.053238752821926</v>
      </c>
    </row>
    <row r="255" spans="8:45">
      <c r="AR255" s="61" t="s">
        <v>731</v>
      </c>
      <c r="AS255" s="62">
        <v>3.5614651854557451</v>
      </c>
    </row>
    <row r="256" spans="8:45">
      <c r="AR256" s="61" t="s">
        <v>732</v>
      </c>
      <c r="AS256" s="62">
        <v>1.9569937497435603</v>
      </c>
    </row>
    <row r="257" spans="44:45">
      <c r="AR257" s="61" t="s">
        <v>733</v>
      </c>
      <c r="AS257" s="62">
        <v>3.1971443452930544</v>
      </c>
    </row>
    <row r="258" spans="44:45">
      <c r="AR258" s="61" t="s">
        <v>734</v>
      </c>
      <c r="AS258" s="62">
        <v>4.0104804459842853</v>
      </c>
    </row>
    <row r="259" spans="44:45">
      <c r="AR259" s="61" t="s">
        <v>735</v>
      </c>
      <c r="AS259" s="62">
        <v>3.2202864379796665</v>
      </c>
    </row>
    <row r="260" spans="44:45">
      <c r="AR260" s="61" t="s">
        <v>736</v>
      </c>
      <c r="AS260" s="62">
        <v>3.3109721546934452</v>
      </c>
    </row>
    <row r="261" spans="44:45">
      <c r="AR261" s="61" t="s">
        <v>737</v>
      </c>
      <c r="AS261" s="62">
        <v>3.1613057065696921</v>
      </c>
    </row>
    <row r="262" spans="44:45">
      <c r="AR262" s="61" t="s">
        <v>738</v>
      </c>
      <c r="AS262" s="62">
        <v>3.1867806531663518</v>
      </c>
    </row>
    <row r="263" spans="44:45">
      <c r="AR263" s="61" t="s">
        <v>739</v>
      </c>
      <c r="AS263" s="62">
        <v>3.2740034688031301</v>
      </c>
    </row>
    <row r="264" spans="44:45">
      <c r="AR264" s="61" t="s">
        <v>740</v>
      </c>
      <c r="AS264" s="62">
        <v>1.714140474476153</v>
      </c>
    </row>
    <row r="265" spans="44:45">
      <c r="AR265" s="61" t="s">
        <v>741</v>
      </c>
      <c r="AS265" s="62">
        <v>5.4364635464735329</v>
      </c>
    </row>
    <row r="266" spans="44:45">
      <c r="AR266" s="61" t="s">
        <v>742</v>
      </c>
      <c r="AS266" s="62">
        <v>2.3960159372363705</v>
      </c>
    </row>
    <row r="267" spans="44:45">
      <c r="AR267" s="61" t="s">
        <v>743</v>
      </c>
      <c r="AS267" s="62">
        <v>4.1020165402442217</v>
      </c>
    </row>
    <row r="268" spans="44:45">
      <c r="AR268" s="61" t="s">
        <v>744</v>
      </c>
      <c r="AS268" s="62">
        <v>2.6106021171726752</v>
      </c>
    </row>
    <row r="269" spans="44:45">
      <c r="AR269" s="61" t="s">
        <v>745</v>
      </c>
      <c r="AS269" s="62">
        <v>4.6009926184779033</v>
      </c>
    </row>
    <row r="270" spans="44:45">
      <c r="AR270" s="61" t="s">
        <v>746</v>
      </c>
      <c r="AS270" s="62">
        <v>1.1745577315450646</v>
      </c>
    </row>
    <row r="271" spans="44:45">
      <c r="AR271" s="61" t="s">
        <v>747</v>
      </c>
      <c r="AS271" s="62">
        <v>3.1560374585096724</v>
      </c>
    </row>
    <row r="272" spans="44:45">
      <c r="AR272" s="61" t="s">
        <v>748</v>
      </c>
      <c r="AS272" s="62">
        <v>3.8498682291246951</v>
      </c>
    </row>
    <row r="273" spans="44:45">
      <c r="AR273" s="61" t="s">
        <v>749</v>
      </c>
      <c r="AS273" s="62">
        <v>2.9715771537012188</v>
      </c>
    </row>
    <row r="274" spans="44:45">
      <c r="AR274" s="61" t="s">
        <v>750</v>
      </c>
      <c r="AS274" s="62">
        <v>1.4980968292802572</v>
      </c>
    </row>
    <row r="275" spans="44:45">
      <c r="AR275" s="61" t="s">
        <v>751</v>
      </c>
      <c r="AS275" s="62">
        <v>2.6019221271126298</v>
      </c>
    </row>
    <row r="276" spans="44:45">
      <c r="AR276" s="61" t="s">
        <v>752</v>
      </c>
      <c r="AS276" s="62">
        <v>2.1642084751219954</v>
      </c>
    </row>
    <row r="277" spans="44:45">
      <c r="AR277" s="61" t="s">
        <v>753</v>
      </c>
      <c r="AS277" s="62">
        <v>4.1028578228433616</v>
      </c>
    </row>
    <row r="278" spans="44:45">
      <c r="AR278" s="61" t="s">
        <v>754</v>
      </c>
      <c r="AS278" s="62">
        <v>3.6678533281956334</v>
      </c>
    </row>
    <row r="279" spans="44:45">
      <c r="AR279" s="61" t="s">
        <v>755</v>
      </c>
      <c r="AS279" s="62">
        <v>2.390959146694513</v>
      </c>
    </row>
    <row r="280" spans="44:45">
      <c r="AR280" s="61" t="s">
        <v>756</v>
      </c>
      <c r="AS280" s="62">
        <v>2.5128018781542778</v>
      </c>
    </row>
    <row r="281" spans="44:45">
      <c r="AR281" s="61" t="s">
        <v>757</v>
      </c>
      <c r="AS281" s="62">
        <v>2.9160206698434195</v>
      </c>
    </row>
    <row r="282" spans="44:45">
      <c r="AR282" s="61" t="s">
        <v>758</v>
      </c>
      <c r="AS282" s="62">
        <v>2.5464690982771572</v>
      </c>
    </row>
    <row r="283" spans="44:45">
      <c r="AR283" s="61" t="s">
        <v>759</v>
      </c>
      <c r="AS283" s="62">
        <v>3.9356813279737253</v>
      </c>
    </row>
    <row r="284" spans="44:45">
      <c r="AR284" s="61" t="s">
        <v>760</v>
      </c>
      <c r="AS284" s="62">
        <v>2.9974374986777548</v>
      </c>
    </row>
    <row r="285" spans="44:45">
      <c r="AR285" s="61" t="s">
        <v>761</v>
      </c>
      <c r="AS285" s="62">
        <v>2.3241885931638535</v>
      </c>
    </row>
    <row r="286" spans="44:45">
      <c r="AR286" s="61" t="s">
        <v>762</v>
      </c>
      <c r="AS286" s="62">
        <v>2.4737459019233938</v>
      </c>
    </row>
    <row r="287" spans="44:45">
      <c r="AR287" s="61" t="s">
        <v>763</v>
      </c>
      <c r="AS287" s="62">
        <v>4.2541590876935516</v>
      </c>
    </row>
    <row r="288" spans="44:45">
      <c r="AR288" s="61" t="s">
        <v>764</v>
      </c>
      <c r="AS288" s="62">
        <v>2.8055852756806416</v>
      </c>
    </row>
    <row r="289" spans="44:45">
      <c r="AR289" s="61" t="s">
        <v>765</v>
      </c>
      <c r="AS289" s="62">
        <v>3.6540540198329836</v>
      </c>
    </row>
    <row r="290" spans="44:45">
      <c r="AR290" s="61" t="s">
        <v>766</v>
      </c>
      <c r="AS290" s="62">
        <v>0.99633769725915045</v>
      </c>
    </row>
    <row r="291" spans="44:45">
      <c r="AR291" s="61" t="s">
        <v>767</v>
      </c>
      <c r="AS291" s="62">
        <v>1.7476849128142931</v>
      </c>
    </row>
    <row r="292" spans="44:45">
      <c r="AR292" s="61" t="s">
        <v>768</v>
      </c>
      <c r="AS292" s="62">
        <v>3.4421985977387521</v>
      </c>
    </row>
    <row r="293" spans="44:45">
      <c r="AR293" s="61" t="s">
        <v>769</v>
      </c>
      <c r="AS293" s="62">
        <v>2.5098710314778145</v>
      </c>
    </row>
    <row r="294" spans="44:45">
      <c r="AR294" s="61" t="s">
        <v>770</v>
      </c>
      <c r="AS294" s="62">
        <v>3.0960380930337124</v>
      </c>
    </row>
    <row r="295" spans="44:45">
      <c r="AR295" s="61" t="s">
        <v>771</v>
      </c>
      <c r="AS295" s="62">
        <v>2.7961435838078614</v>
      </c>
    </row>
    <row r="296" spans="44:45">
      <c r="AR296" s="61" t="s">
        <v>772</v>
      </c>
      <c r="AS296" s="62">
        <v>3.174806018549134</v>
      </c>
    </row>
    <row r="297" spans="44:45">
      <c r="AR297" s="61" t="s">
        <v>773</v>
      </c>
      <c r="AS297" s="62">
        <v>3.9280051926907618</v>
      </c>
    </row>
    <row r="298" spans="44:45">
      <c r="AR298" s="61" t="s">
        <v>774</v>
      </c>
      <c r="AS298" s="62">
        <v>2.1514482644561213</v>
      </c>
    </row>
    <row r="299" spans="44:45">
      <c r="AR299" s="61" t="s">
        <v>775</v>
      </c>
      <c r="AS299" s="62">
        <v>2.7868394530087244</v>
      </c>
    </row>
    <row r="300" spans="44:45">
      <c r="AR300" s="61" t="s">
        <v>776</v>
      </c>
      <c r="AS300" s="62">
        <v>5.1237337932689115</v>
      </c>
    </row>
    <row r="301" spans="44:45">
      <c r="AR301" s="61" t="s">
        <v>777</v>
      </c>
      <c r="AS301" s="62">
        <v>2.7033671661483822</v>
      </c>
    </row>
    <row r="302" spans="44:45">
      <c r="AR302" s="61" t="s">
        <v>778</v>
      </c>
      <c r="AS302" s="62">
        <v>1.624809904868016</v>
      </c>
    </row>
    <row r="303" spans="44:45">
      <c r="AR303" s="61" t="s">
        <v>779</v>
      </c>
      <c r="AS303" s="62">
        <v>1.937016698619118</v>
      </c>
    </row>
    <row r="304" spans="44:45">
      <c r="AR304" s="61" t="s">
        <v>780</v>
      </c>
      <c r="AS304" s="62">
        <v>2.6713142991211498</v>
      </c>
    </row>
    <row r="305" spans="44:45">
      <c r="AR305" s="61" t="s">
        <v>781</v>
      </c>
      <c r="AS305" s="62">
        <v>2.4499626154720318</v>
      </c>
    </row>
    <row r="306" spans="44:45">
      <c r="AR306" s="61" t="s">
        <v>782</v>
      </c>
      <c r="AS306" s="62">
        <v>3.746042587707052</v>
      </c>
    </row>
    <row r="307" spans="44:45">
      <c r="AR307" s="61" t="s">
        <v>783</v>
      </c>
      <c r="AS307" s="62">
        <v>4.8422997527522966</v>
      </c>
    </row>
    <row r="308" spans="44:45">
      <c r="AR308" s="61" t="s">
        <v>784</v>
      </c>
      <c r="AS308" s="62">
        <v>4.2007058103336021</v>
      </c>
    </row>
    <row r="309" spans="44:45">
      <c r="AR309" s="61" t="s">
        <v>785</v>
      </c>
      <c r="AS309" s="62">
        <v>4.1266388355579693</v>
      </c>
    </row>
    <row r="310" spans="44:45">
      <c r="AR310" s="61" t="s">
        <v>786</v>
      </c>
      <c r="AS310" s="62">
        <v>2.8925818545103539</v>
      </c>
    </row>
    <row r="311" spans="44:45">
      <c r="AR311" s="61" t="s">
        <v>787</v>
      </c>
      <c r="AS311" s="62">
        <v>2.4674976733222138</v>
      </c>
    </row>
    <row r="312" spans="44:45">
      <c r="AR312" s="61" t="s">
        <v>788</v>
      </c>
      <c r="AS312" s="62">
        <v>3.8015672392502893</v>
      </c>
    </row>
    <row r="313" spans="44:45">
      <c r="AR313" s="61" t="s">
        <v>789</v>
      </c>
      <c r="AS313" s="62">
        <v>2.5678172126645222</v>
      </c>
    </row>
    <row r="314" spans="44:45">
      <c r="AR314" s="61" t="s">
        <v>790</v>
      </c>
      <c r="AS314" s="62">
        <v>5.2682070266455412</v>
      </c>
    </row>
    <row r="315" spans="44:45">
      <c r="AR315" s="61" t="s">
        <v>791</v>
      </c>
      <c r="AS315" s="62">
        <v>3.3254581315559335</v>
      </c>
    </row>
    <row r="316" spans="44:45">
      <c r="AR316" s="61" t="s">
        <v>792</v>
      </c>
      <c r="AS316" s="62">
        <v>5.0899460650980473</v>
      </c>
    </row>
    <row r="317" spans="44:45">
      <c r="AR317" s="61" t="s">
        <v>793</v>
      </c>
      <c r="AS317" s="62">
        <v>2.5761174886865774</v>
      </c>
    </row>
    <row r="318" spans="44:45">
      <c r="AR318" s="61" t="s">
        <v>794</v>
      </c>
      <c r="AS318" s="62">
        <v>3.9474797479924746</v>
      </c>
    </row>
    <row r="319" spans="44:45">
      <c r="AR319" s="61" t="s">
        <v>795</v>
      </c>
      <c r="AS319" s="62">
        <v>3.7500898391299415</v>
      </c>
    </row>
    <row r="320" spans="44:45">
      <c r="AR320" s="61" t="s">
        <v>796</v>
      </c>
      <c r="AS320" s="62">
        <v>4.3308658708410803</v>
      </c>
    </row>
    <row r="321" spans="44:45">
      <c r="AR321" s="61" t="s">
        <v>797</v>
      </c>
      <c r="AS321" s="62">
        <v>2.692557821617811</v>
      </c>
    </row>
    <row r="322" spans="44:45">
      <c r="AR322" s="61" t="s">
        <v>798</v>
      </c>
      <c r="AS322" s="62">
        <v>2.9479962298210012</v>
      </c>
    </row>
    <row r="323" spans="44:45">
      <c r="AR323" s="61" t="s">
        <v>799</v>
      </c>
      <c r="AS323" s="62">
        <v>3.5859055818291381</v>
      </c>
    </row>
    <row r="324" spans="44:45">
      <c r="AR324" s="61" t="s">
        <v>800</v>
      </c>
      <c r="AS324" s="62">
        <v>3.3358809408382513</v>
      </c>
    </row>
    <row r="325" spans="44:45">
      <c r="AR325" s="61" t="s">
        <v>801</v>
      </c>
      <c r="AS325" s="62">
        <v>3.5500373845279682</v>
      </c>
    </row>
    <row r="326" spans="44:45">
      <c r="AR326" s="61" t="s">
        <v>802</v>
      </c>
      <c r="AS326" s="62">
        <v>2.750694996691891</v>
      </c>
    </row>
    <row r="327" spans="44:45">
      <c r="AR327" s="61" t="s">
        <v>803</v>
      </c>
      <c r="AS327" s="62">
        <v>5.6627094484865665</v>
      </c>
    </row>
    <row r="328" spans="44:45">
      <c r="AR328" s="61" t="s">
        <v>804</v>
      </c>
      <c r="AS328" s="62">
        <v>2.6256599388289033</v>
      </c>
    </row>
    <row r="329" spans="44:45">
      <c r="AR329" s="61" t="s">
        <v>805</v>
      </c>
      <c r="AS329" s="62">
        <v>4.1567294677661266</v>
      </c>
    </row>
    <row r="330" spans="44:45">
      <c r="AR330" s="61" t="s">
        <v>806</v>
      </c>
      <c r="AS330" s="62">
        <v>4.7321053746854886</v>
      </c>
    </row>
    <row r="331" spans="44:45">
      <c r="AR331" s="61" t="s">
        <v>807</v>
      </c>
      <c r="AS331" s="62">
        <v>4.6958847481873818</v>
      </c>
    </row>
    <row r="332" spans="44:45">
      <c r="AR332" s="61" t="s">
        <v>808</v>
      </c>
      <c r="AS332" s="62">
        <v>2.0434935170924291</v>
      </c>
    </row>
    <row r="333" spans="44:45">
      <c r="AR333" s="61" t="s">
        <v>809</v>
      </c>
      <c r="AS333" s="62">
        <v>3.2889669303840492</v>
      </c>
    </row>
    <row r="334" spans="44:45">
      <c r="AR334" s="61" t="s">
        <v>810</v>
      </c>
      <c r="AS334" s="62">
        <v>2.7894212810933823</v>
      </c>
    </row>
    <row r="335" spans="44:45">
      <c r="AR335" s="61" t="s">
        <v>811</v>
      </c>
      <c r="AS335" s="62">
        <v>4.3211001714807935</v>
      </c>
    </row>
    <row r="336" spans="44:45">
      <c r="AR336" s="61" t="s">
        <v>812</v>
      </c>
      <c r="AS336" s="62">
        <v>2.5354187376506161</v>
      </c>
    </row>
    <row r="337" spans="44:45">
      <c r="AR337" s="61" t="s">
        <v>813</v>
      </c>
      <c r="AS337" s="62">
        <v>2.0807827998651192</v>
      </c>
    </row>
    <row r="338" spans="44:45">
      <c r="AR338" s="61" t="s">
        <v>814</v>
      </c>
      <c r="AS338" s="62">
        <v>3.0907368757907534</v>
      </c>
    </row>
    <row r="339" spans="44:45">
      <c r="AR339" s="61" t="s">
        <v>815</v>
      </c>
      <c r="AS339" s="62">
        <v>2.9265332917275373</v>
      </c>
    </row>
    <row r="340" spans="44:45">
      <c r="AR340" s="61" t="s">
        <v>816</v>
      </c>
      <c r="AS340" s="62">
        <v>3.687100509821903</v>
      </c>
    </row>
    <row r="341" spans="44:45">
      <c r="AR341" s="61" t="s">
        <v>817</v>
      </c>
      <c r="AS341" s="62">
        <v>3.9477207640884444</v>
      </c>
    </row>
    <row r="342" spans="44:45">
      <c r="AR342" s="61" t="s">
        <v>818</v>
      </c>
      <c r="AS342" s="62">
        <v>3.7646644917258527</v>
      </c>
    </row>
    <row r="343" spans="44:45">
      <c r="AR343" s="61" t="s">
        <v>819</v>
      </c>
      <c r="AS343" s="62">
        <v>1.5788667800079565</v>
      </c>
    </row>
    <row r="344" spans="44:45">
      <c r="AR344" s="61" t="s">
        <v>820</v>
      </c>
      <c r="AS344" s="62">
        <v>2.2841344464977738</v>
      </c>
    </row>
    <row r="345" spans="44:45">
      <c r="AR345" s="61" t="s">
        <v>821</v>
      </c>
      <c r="AS345" s="62">
        <v>3.1798571247491054</v>
      </c>
    </row>
    <row r="346" spans="44:45">
      <c r="AR346" s="61" t="s">
        <v>822</v>
      </c>
      <c r="AS346" s="62">
        <v>3.4170306056039408</v>
      </c>
    </row>
    <row r="347" spans="44:45">
      <c r="AR347" s="61" t="s">
        <v>823</v>
      </c>
      <c r="AS347" s="62">
        <v>0.91880327393300831</v>
      </c>
    </row>
    <row r="348" spans="44:45">
      <c r="AR348" s="61" t="s">
        <v>824</v>
      </c>
      <c r="AS348" s="62">
        <v>3.9960558600141667</v>
      </c>
    </row>
    <row r="349" spans="44:45">
      <c r="AR349" s="61" t="s">
        <v>825</v>
      </c>
      <c r="AS349" s="62">
        <v>4.1090628504462074</v>
      </c>
    </row>
    <row r="350" spans="44:45">
      <c r="AR350" s="61" t="s">
        <v>826</v>
      </c>
      <c r="AS350" s="62">
        <v>2.497845237783622</v>
      </c>
    </row>
    <row r="351" spans="44:45">
      <c r="AR351" s="61" t="s">
        <v>827</v>
      </c>
      <c r="AS351" s="62">
        <v>4.6488138498971239</v>
      </c>
    </row>
    <row r="352" spans="44:45">
      <c r="AR352" s="61" t="s">
        <v>828</v>
      </c>
      <c r="AS352" s="62">
        <v>1.3200086717261001</v>
      </c>
    </row>
    <row r="353" spans="44:45">
      <c r="AR353" s="61" t="s">
        <v>829</v>
      </c>
      <c r="AS353" s="62">
        <v>2.7739882928726729</v>
      </c>
    </row>
    <row r="354" spans="44:45">
      <c r="AR354" s="61" t="s">
        <v>830</v>
      </c>
      <c r="AS354" s="62">
        <v>3.4923731466988102</v>
      </c>
    </row>
    <row r="355" spans="44:45">
      <c r="AR355" s="61" t="s">
        <v>831</v>
      </c>
      <c r="AS355" s="62">
        <v>2.3565211298118811</v>
      </c>
    </row>
    <row r="356" spans="44:45">
      <c r="AR356" s="61" t="s">
        <v>832</v>
      </c>
      <c r="AS356" s="62">
        <v>2.4108225109812338</v>
      </c>
    </row>
    <row r="357" spans="44:45">
      <c r="AR357" s="61" t="s">
        <v>833</v>
      </c>
      <c r="AS357" s="62">
        <v>3.4775733941642102</v>
      </c>
    </row>
    <row r="358" spans="44:45">
      <c r="AR358" s="61" t="s">
        <v>834</v>
      </c>
      <c r="AS358" s="62">
        <v>3.3241677859477932</v>
      </c>
    </row>
    <row r="359" spans="44:45">
      <c r="AR359" s="61" t="s">
        <v>835</v>
      </c>
      <c r="AS359" s="62">
        <v>2.1553886502515525</v>
      </c>
    </row>
    <row r="360" spans="44:45">
      <c r="AR360" s="61" t="s">
        <v>836</v>
      </c>
      <c r="AS360" s="62">
        <v>1.8329045663704164</v>
      </c>
    </row>
    <row r="361" spans="44:45">
      <c r="AR361" s="61" t="s">
        <v>837</v>
      </c>
      <c r="AS361" s="62">
        <v>2.7386032646318199</v>
      </c>
    </row>
    <row r="362" spans="44:45">
      <c r="AR362" s="61" t="s">
        <v>838</v>
      </c>
      <c r="AS362" s="62">
        <v>1.5070144248311408</v>
      </c>
    </row>
    <row r="363" spans="44:45">
      <c r="AR363" s="61" t="s">
        <v>839</v>
      </c>
      <c r="AS363" s="62">
        <v>2.1271829458128195</v>
      </c>
    </row>
    <row r="364" spans="44:45">
      <c r="AR364" s="61" t="s">
        <v>840</v>
      </c>
      <c r="AS364" s="62">
        <v>1.1564496920327656</v>
      </c>
    </row>
    <row r="365" spans="44:45">
      <c r="AR365" s="61" t="s">
        <v>841</v>
      </c>
      <c r="AS365" s="62">
        <v>3.0263571564573795</v>
      </c>
    </row>
    <row r="366" spans="44:45">
      <c r="AR366" s="61" t="s">
        <v>842</v>
      </c>
      <c r="AS366" s="62">
        <v>3.4052924396091839</v>
      </c>
    </row>
    <row r="367" spans="44:45">
      <c r="AR367" s="61" t="s">
        <v>843</v>
      </c>
      <c r="AS367" s="62">
        <v>2.2241180279961554</v>
      </c>
    </row>
    <row r="368" spans="44:45">
      <c r="AR368" s="61" t="s">
        <v>844</v>
      </c>
      <c r="AS368" s="62">
        <v>3.8305960363941267</v>
      </c>
    </row>
    <row r="369" spans="44:45">
      <c r="AR369" s="61" t="s">
        <v>845</v>
      </c>
      <c r="AS369" s="62">
        <v>4.8511354937800206</v>
      </c>
    </row>
    <row r="370" spans="44:45">
      <c r="AR370" s="61" t="s">
        <v>846</v>
      </c>
      <c r="AS370" s="62">
        <v>2.011579348007217</v>
      </c>
    </row>
    <row r="371" spans="44:45">
      <c r="AR371" s="61" t="s">
        <v>847</v>
      </c>
      <c r="AS371" s="62">
        <v>3.5152151061338373</v>
      </c>
    </row>
    <row r="372" spans="44:45">
      <c r="AR372" s="61" t="s">
        <v>848</v>
      </c>
      <c r="AS372" s="62">
        <v>3.0884324435901362</v>
      </c>
    </row>
    <row r="373" spans="44:45">
      <c r="AR373" s="61" t="s">
        <v>849</v>
      </c>
      <c r="AS373" s="62">
        <v>3.8757319847063627</v>
      </c>
    </row>
    <row r="374" spans="44:45">
      <c r="AR374" s="61" t="s">
        <v>850</v>
      </c>
      <c r="AS374" s="62">
        <v>3.6765799298591446</v>
      </c>
    </row>
    <row r="375" spans="44:45">
      <c r="AR375" s="61" t="s">
        <v>851</v>
      </c>
      <c r="AS375" s="62">
        <v>3.6396248863893561</v>
      </c>
    </row>
    <row r="376" spans="44:45">
      <c r="AR376" s="61" t="s">
        <v>852</v>
      </c>
      <c r="AS376" s="62">
        <v>3.0746172190702055</v>
      </c>
    </row>
    <row r="377" spans="44:45">
      <c r="AR377" s="61" t="s">
        <v>853</v>
      </c>
      <c r="AS377" s="62">
        <v>3.9085306373890489</v>
      </c>
    </row>
    <row r="378" spans="44:45">
      <c r="AR378" s="61" t="s">
        <v>854</v>
      </c>
      <c r="AS378" s="62">
        <v>3.4877153969573556</v>
      </c>
    </row>
    <row r="379" spans="44:45">
      <c r="AR379" s="61" t="s">
        <v>855</v>
      </c>
      <c r="AS379" s="62">
        <v>2.2365655998582952</v>
      </c>
    </row>
    <row r="380" spans="44:45">
      <c r="AR380" s="61" t="s">
        <v>856</v>
      </c>
      <c r="AS380" s="62">
        <v>3.3946854576497572</v>
      </c>
    </row>
    <row r="381" spans="44:45">
      <c r="AR381" s="61" t="s">
        <v>857</v>
      </c>
      <c r="AS381" s="62">
        <v>2.6304154592507984</v>
      </c>
    </row>
    <row r="382" spans="44:45">
      <c r="AR382" s="61" t="s">
        <v>858</v>
      </c>
      <c r="AS382" s="62">
        <v>2.8570365278283134</v>
      </c>
    </row>
    <row r="383" spans="44:45">
      <c r="AR383" s="61" t="s">
        <v>859</v>
      </c>
      <c r="AS383" s="62">
        <v>3.1513933511887444</v>
      </c>
    </row>
    <row r="384" spans="44:45">
      <c r="AR384" s="61" t="s">
        <v>860</v>
      </c>
      <c r="AS384" s="62">
        <v>3.4822084065381205</v>
      </c>
    </row>
    <row r="385" spans="44:45">
      <c r="AR385" s="61" t="s">
        <v>861</v>
      </c>
      <c r="AS385" s="62">
        <v>3.109957909444347</v>
      </c>
    </row>
    <row r="386" spans="44:45">
      <c r="AR386" s="61" t="s">
        <v>862</v>
      </c>
      <c r="AS386" s="62">
        <v>3.7798166734573897</v>
      </c>
    </row>
    <row r="387" spans="44:45">
      <c r="AR387" s="61" t="s">
        <v>863</v>
      </c>
      <c r="AS387" s="62">
        <v>3.1986268216569442</v>
      </c>
    </row>
    <row r="388" spans="44:45">
      <c r="AR388" s="61" t="s">
        <v>864</v>
      </c>
      <c r="AS388" s="62">
        <v>2.4460426933073904</v>
      </c>
    </row>
    <row r="389" spans="44:45">
      <c r="AR389" s="61" t="s">
        <v>865</v>
      </c>
      <c r="AS389" s="62">
        <v>2.8646831045334693</v>
      </c>
    </row>
    <row r="390" spans="44:45">
      <c r="AR390" s="61" t="s">
        <v>866</v>
      </c>
      <c r="AS390" s="62">
        <v>3.9711129678180441</v>
      </c>
    </row>
    <row r="391" spans="44:45">
      <c r="AR391" s="61" t="s">
        <v>867</v>
      </c>
      <c r="AS391" s="62">
        <v>2.7987197275506333</v>
      </c>
    </row>
    <row r="392" spans="44:45">
      <c r="AR392" s="61" t="s">
        <v>868</v>
      </c>
      <c r="AS392" s="62">
        <v>4.6107151168398559</v>
      </c>
    </row>
    <row r="393" spans="44:45">
      <c r="AR393" s="61" t="s">
        <v>869</v>
      </c>
      <c r="AS393" s="62">
        <v>2.7769691617577337</v>
      </c>
    </row>
    <row r="394" spans="44:45">
      <c r="AR394" s="61" t="s">
        <v>870</v>
      </c>
      <c r="AS394" s="62">
        <v>3.5139918357599527</v>
      </c>
    </row>
    <row r="395" spans="44:45">
      <c r="AR395" s="61" t="s">
        <v>871</v>
      </c>
      <c r="AS395" s="62">
        <v>4.098931079468457</v>
      </c>
    </row>
    <row r="396" spans="44:45">
      <c r="AR396" s="61" t="s">
        <v>872</v>
      </c>
      <c r="AS396" s="62">
        <v>3.2644060259626713</v>
      </c>
    </row>
    <row r="397" spans="44:45">
      <c r="AR397" s="61" t="s">
        <v>873</v>
      </c>
      <c r="AS397" s="62">
        <v>2.2590005604142789</v>
      </c>
    </row>
    <row r="398" spans="44:45">
      <c r="AR398" s="61" t="s">
        <v>874</v>
      </c>
      <c r="AS398" s="62">
        <v>3.2282104105688632</v>
      </c>
    </row>
    <row r="399" spans="44:45">
      <c r="AR399" s="61" t="s">
        <v>875</v>
      </c>
      <c r="AS399" s="62">
        <v>5.0558582036755979</v>
      </c>
    </row>
    <row r="400" spans="44:45">
      <c r="AR400" s="61" t="s">
        <v>876</v>
      </c>
      <c r="AS400" s="62">
        <v>2.6134056345908903</v>
      </c>
    </row>
    <row r="401" spans="44:45">
      <c r="AR401" s="61" t="s">
        <v>877</v>
      </c>
      <c r="AS401" s="62">
        <v>2.3403457665408496</v>
      </c>
    </row>
    <row r="402" spans="44:45">
      <c r="AR402" s="61" t="s">
        <v>878</v>
      </c>
      <c r="AS402" s="62">
        <v>1.7594947015168145</v>
      </c>
    </row>
    <row r="403" spans="44:45">
      <c r="AR403" s="61" t="s">
        <v>879</v>
      </c>
      <c r="AS403" s="62">
        <v>3.0444981651526177</v>
      </c>
    </row>
    <row r="404" spans="44:45">
      <c r="AR404" s="61" t="s">
        <v>880</v>
      </c>
      <c r="AS404" s="62">
        <v>4.0889129953284282</v>
      </c>
    </row>
    <row r="405" spans="44:45">
      <c r="AR405" s="61" t="s">
        <v>881</v>
      </c>
      <c r="AS405" s="62">
        <v>2.0221226653375197</v>
      </c>
    </row>
    <row r="406" spans="44:45">
      <c r="AR406" s="61" t="s">
        <v>882</v>
      </c>
      <c r="AS406" s="62">
        <v>3.1852242803579429</v>
      </c>
    </row>
    <row r="407" spans="44:45">
      <c r="AR407" s="61" t="s">
        <v>883</v>
      </c>
      <c r="AS407" s="62">
        <v>4.5388377505587414</v>
      </c>
    </row>
    <row r="408" spans="44:45">
      <c r="AR408" s="61" t="s">
        <v>884</v>
      </c>
      <c r="AS408" s="62">
        <v>4.5916930351522751</v>
      </c>
    </row>
    <row r="409" spans="44:45">
      <c r="AR409" s="61" t="s">
        <v>885</v>
      </c>
      <c r="AS409" s="62">
        <v>2.9762451352580683</v>
      </c>
    </row>
    <row r="410" spans="44:45">
      <c r="AR410" s="61" t="s">
        <v>886</v>
      </c>
      <c r="AS410" s="62">
        <v>1.4698524713166989</v>
      </c>
    </row>
    <row r="411" spans="44:45">
      <c r="AR411" s="61" t="s">
        <v>887</v>
      </c>
      <c r="AS411" s="62">
        <v>2.9858857790968614</v>
      </c>
    </row>
    <row r="412" spans="44:45">
      <c r="AR412" s="61" t="s">
        <v>888</v>
      </c>
      <c r="AS412" s="62">
        <v>4.3139924703864381</v>
      </c>
    </row>
    <row r="413" spans="44:45">
      <c r="AR413" s="61" t="s">
        <v>889</v>
      </c>
      <c r="AS413" s="62">
        <v>3.2550700628489722</v>
      </c>
    </row>
    <row r="414" spans="44:45">
      <c r="AR414" s="61" t="s">
        <v>890</v>
      </c>
      <c r="AS414" s="62">
        <v>1.6952025210484862</v>
      </c>
    </row>
    <row r="415" spans="44:45">
      <c r="AR415" s="61" t="s">
        <v>891</v>
      </c>
      <c r="AS415" s="62">
        <v>2.3809831266844412</v>
      </c>
    </row>
    <row r="416" spans="44:45">
      <c r="AR416" s="61" t="s">
        <v>892</v>
      </c>
      <c r="AS416" s="62">
        <v>1.5851400197134353</v>
      </c>
    </row>
    <row r="417" spans="44:45">
      <c r="AR417" s="61" t="s">
        <v>893</v>
      </c>
      <c r="AS417" s="62">
        <v>2.3760650340846041</v>
      </c>
    </row>
    <row r="418" spans="44:45">
      <c r="AR418" s="61" t="s">
        <v>894</v>
      </c>
      <c r="AS418" s="62">
        <v>3.1180433173431084</v>
      </c>
    </row>
    <row r="419" spans="44:45">
      <c r="AR419" s="61" t="s">
        <v>895</v>
      </c>
      <c r="AS419" s="62">
        <v>3.1643286395847099</v>
      </c>
    </row>
    <row r="420" spans="44:45">
      <c r="AR420" s="61" t="s">
        <v>896</v>
      </c>
      <c r="AS420" s="62">
        <v>2.3364417605334893</v>
      </c>
    </row>
    <row r="421" spans="44:45">
      <c r="AR421" s="61" t="s">
        <v>897</v>
      </c>
      <c r="AS421" s="62">
        <v>2.9708120412833523</v>
      </c>
    </row>
    <row r="422" spans="44:45">
      <c r="AR422" s="61" t="s">
        <v>898</v>
      </c>
      <c r="AS422" s="62">
        <v>3.8368783710466232</v>
      </c>
    </row>
    <row r="423" spans="44:45">
      <c r="AR423" s="61" t="s">
        <v>899</v>
      </c>
      <c r="AS423" s="62">
        <v>3.2081537786580157</v>
      </c>
    </row>
    <row r="424" spans="44:45">
      <c r="AR424" s="61" t="s">
        <v>900</v>
      </c>
      <c r="AS424" s="62">
        <v>2.5015730291925138</v>
      </c>
    </row>
    <row r="425" spans="44:45">
      <c r="AR425" s="61" t="s">
        <v>901</v>
      </c>
      <c r="AS425" s="62">
        <v>3.6088566806283779</v>
      </c>
    </row>
    <row r="426" spans="44:45">
      <c r="AR426" s="61" t="s">
        <v>902</v>
      </c>
      <c r="AS426" s="62">
        <v>3.4417779564391822</v>
      </c>
    </row>
    <row r="427" spans="44:45">
      <c r="AR427" s="61" t="s">
        <v>903</v>
      </c>
      <c r="AS427" s="62">
        <v>3.6556649623234989</v>
      </c>
    </row>
    <row r="428" spans="44:45">
      <c r="AR428" s="61" t="s">
        <v>904</v>
      </c>
      <c r="AS428" s="62">
        <v>3.9231916919816285</v>
      </c>
    </row>
    <row r="429" spans="44:45">
      <c r="AR429" s="61" t="s">
        <v>905</v>
      </c>
      <c r="AS429" s="62">
        <v>2.1831509760231711</v>
      </c>
    </row>
    <row r="430" spans="44:45">
      <c r="AR430" s="61" t="s">
        <v>906</v>
      </c>
      <c r="AS430" s="62">
        <v>1.9846651260450017</v>
      </c>
    </row>
    <row r="431" spans="44:45">
      <c r="AR431" s="61" t="s">
        <v>907</v>
      </c>
      <c r="AS431" s="62">
        <v>3.3085654043388786</v>
      </c>
    </row>
    <row r="432" spans="44:45">
      <c r="AR432" s="61" t="s">
        <v>908</v>
      </c>
      <c r="AS432" s="62">
        <v>4.5242540030158125</v>
      </c>
    </row>
    <row r="433" spans="44:45">
      <c r="AR433" s="61" t="s">
        <v>909</v>
      </c>
      <c r="AS433" s="62">
        <v>2.7923146111133974</v>
      </c>
    </row>
    <row r="434" spans="44:45">
      <c r="AR434" s="61" t="s">
        <v>910</v>
      </c>
      <c r="AS434" s="62">
        <v>2.9734131961304229</v>
      </c>
    </row>
    <row r="435" spans="44:45">
      <c r="AR435" s="61" t="s">
        <v>911</v>
      </c>
      <c r="AS435" s="62">
        <v>3.982824985840125</v>
      </c>
    </row>
    <row r="436" spans="44:45">
      <c r="AR436" s="61" t="s">
        <v>912</v>
      </c>
      <c r="AS436" s="62">
        <v>2.3969345268851612</v>
      </c>
    </row>
    <row r="437" spans="44:45">
      <c r="AR437" s="61" t="s">
        <v>913</v>
      </c>
      <c r="AS437" s="62">
        <v>3.0611987616139231</v>
      </c>
    </row>
    <row r="438" spans="44:45">
      <c r="AR438" s="61" t="s">
        <v>914</v>
      </c>
      <c r="AS438" s="62">
        <v>3.2532522103138035</v>
      </c>
    </row>
    <row r="439" spans="44:45">
      <c r="AR439" s="61" t="s">
        <v>915</v>
      </c>
      <c r="AS439" s="62">
        <v>4.0996313903888222</v>
      </c>
    </row>
    <row r="440" spans="44:45">
      <c r="AR440" s="61" t="s">
        <v>916</v>
      </c>
      <c r="AS440" s="62">
        <v>2.0236028679646552</v>
      </c>
    </row>
    <row r="441" spans="44:45">
      <c r="AR441" s="61" t="s">
        <v>917</v>
      </c>
      <c r="AS441" s="62">
        <v>3.7955691216920968</v>
      </c>
    </row>
    <row r="442" spans="44:45">
      <c r="AR442" s="61" t="s">
        <v>918</v>
      </c>
      <c r="AS442" s="62">
        <v>2.858890760151553</v>
      </c>
    </row>
    <row r="443" spans="44:45">
      <c r="AR443" s="61" t="s">
        <v>919</v>
      </c>
      <c r="AS443" s="62">
        <v>1.8266836226102896</v>
      </c>
    </row>
    <row r="444" spans="44:45">
      <c r="AR444" s="61" t="s">
        <v>920</v>
      </c>
      <c r="AS444" s="62">
        <v>5.2429048840422183</v>
      </c>
    </row>
    <row r="445" spans="44:45">
      <c r="AR445" s="61" t="s">
        <v>921</v>
      </c>
      <c r="AS445" s="62">
        <v>3.4625371730071492</v>
      </c>
    </row>
    <row r="446" spans="44:45">
      <c r="AR446" s="61" t="s">
        <v>922</v>
      </c>
      <c r="AS446" s="62">
        <v>2.4291965776938014</v>
      </c>
    </row>
    <row r="447" spans="44:45">
      <c r="AR447" s="61" t="s">
        <v>923</v>
      </c>
      <c r="AS447" s="62">
        <v>2.3881942828011233</v>
      </c>
    </row>
    <row r="448" spans="44:45">
      <c r="AR448" s="61" t="s">
        <v>924</v>
      </c>
      <c r="AS448" s="62">
        <v>4.2111513569834642</v>
      </c>
    </row>
    <row r="449" spans="44:45">
      <c r="AR449" s="61" t="s">
        <v>925</v>
      </c>
      <c r="AS449" s="62">
        <v>4.0240842129860539</v>
      </c>
    </row>
    <row r="450" spans="44:45">
      <c r="AR450" s="61" t="s">
        <v>926</v>
      </c>
      <c r="AS450" s="62">
        <v>2.8150087776593864</v>
      </c>
    </row>
    <row r="451" spans="44:45">
      <c r="AR451" s="61" t="s">
        <v>927</v>
      </c>
      <c r="AS451" s="62">
        <v>1.9139882927702274</v>
      </c>
    </row>
    <row r="452" spans="44:45">
      <c r="AR452" s="61" t="s">
        <v>928</v>
      </c>
      <c r="AS452" s="62">
        <v>3.4162791356066009</v>
      </c>
    </row>
    <row r="453" spans="44:45">
      <c r="AR453" s="61" t="s">
        <v>929</v>
      </c>
      <c r="AS453" s="62">
        <v>3.2087790562654845</v>
      </c>
    </row>
    <row r="454" spans="44:45">
      <c r="AR454" s="61" t="s">
        <v>930</v>
      </c>
      <c r="AS454" s="62">
        <v>2.8799535205762368</v>
      </c>
    </row>
    <row r="455" spans="44:45">
      <c r="AR455" s="61" t="s">
        <v>931</v>
      </c>
      <c r="AS455" s="62">
        <v>1.9200387062737718</v>
      </c>
    </row>
    <row r="456" spans="44:45">
      <c r="AR456" s="61" t="s">
        <v>932</v>
      </c>
      <c r="AS456" s="62">
        <v>1.699845491501037</v>
      </c>
    </row>
    <row r="457" spans="44:45">
      <c r="AR457" s="61" t="s">
        <v>933</v>
      </c>
      <c r="AS457" s="62">
        <v>4.5289151633623987</v>
      </c>
    </row>
    <row r="458" spans="44:45">
      <c r="AR458" s="61" t="s">
        <v>934</v>
      </c>
      <c r="AS458" s="62">
        <v>2.9329747879528441</v>
      </c>
    </row>
    <row r="459" spans="44:45">
      <c r="AR459" s="61" t="s">
        <v>935</v>
      </c>
      <c r="AS459" s="62">
        <v>3.3397690306883305</v>
      </c>
    </row>
    <row r="460" spans="44:45">
      <c r="AR460" s="61" t="s">
        <v>936</v>
      </c>
      <c r="AS460" s="62">
        <v>3.0752311279939022</v>
      </c>
    </row>
    <row r="461" spans="44:45">
      <c r="AR461" s="61" t="s">
        <v>937</v>
      </c>
      <c r="AS461" s="62">
        <v>2.0114542924857233</v>
      </c>
    </row>
    <row r="462" spans="44:45">
      <c r="AR462" s="61" t="s">
        <v>938</v>
      </c>
      <c r="AS462" s="62">
        <v>2.8679254531452898</v>
      </c>
    </row>
    <row r="463" spans="44:45">
      <c r="AR463" s="61" t="s">
        <v>939</v>
      </c>
      <c r="AS463" s="62">
        <v>1.7424735081731342</v>
      </c>
    </row>
    <row r="464" spans="44:45">
      <c r="AR464" s="61" t="s">
        <v>940</v>
      </c>
      <c r="AS464" s="62">
        <v>4.409675860486459</v>
      </c>
    </row>
    <row r="465" spans="44:45">
      <c r="AR465" s="61" t="s">
        <v>941</v>
      </c>
      <c r="AS465" s="62">
        <v>3.2957540345960297</v>
      </c>
    </row>
    <row r="466" spans="44:45">
      <c r="AR466" s="61" t="s">
        <v>942</v>
      </c>
      <c r="AS466" s="62">
        <v>1.589082679245621</v>
      </c>
    </row>
    <row r="467" spans="44:45">
      <c r="AR467" s="61" t="s">
        <v>943</v>
      </c>
      <c r="AS467" s="62">
        <v>3.2271110588480951</v>
      </c>
    </row>
    <row r="468" spans="44:45">
      <c r="AR468" s="61" t="s">
        <v>944</v>
      </c>
      <c r="AS468" s="62">
        <v>2.2101925272436347</v>
      </c>
    </row>
    <row r="469" spans="44:45">
      <c r="AR469" s="61" t="s">
        <v>945</v>
      </c>
      <c r="AS469" s="62">
        <v>3.8551501196052413</v>
      </c>
    </row>
    <row r="470" spans="44:45">
      <c r="AR470" s="61" t="s">
        <v>946</v>
      </c>
      <c r="AS470" s="62">
        <v>2.5878056324727368</v>
      </c>
    </row>
    <row r="471" spans="44:45">
      <c r="AR471" s="61" t="s">
        <v>947</v>
      </c>
      <c r="AS471" s="62">
        <v>2.2849257068883162</v>
      </c>
    </row>
    <row r="472" spans="44:45">
      <c r="AR472" s="61" t="s">
        <v>948</v>
      </c>
      <c r="AS472" s="62">
        <v>2.4183576745854225</v>
      </c>
    </row>
    <row r="473" spans="44:45">
      <c r="AR473" s="61" t="s">
        <v>949</v>
      </c>
      <c r="AS473" s="62">
        <v>3.4871117198490538</v>
      </c>
    </row>
    <row r="474" spans="44:45">
      <c r="AR474" s="61" t="s">
        <v>950</v>
      </c>
      <c r="AS474" s="62">
        <v>1.9218190421524923</v>
      </c>
    </row>
    <row r="475" spans="44:45">
      <c r="AR475" s="61" t="s">
        <v>951</v>
      </c>
      <c r="AS475" s="62">
        <v>2.7934867224103073</v>
      </c>
    </row>
    <row r="476" spans="44:45">
      <c r="AR476" s="61" t="s">
        <v>952</v>
      </c>
      <c r="AS476" s="62">
        <v>2.1457320902554784</v>
      </c>
    </row>
    <row r="477" spans="44:45">
      <c r="AR477" s="61" t="s">
        <v>953</v>
      </c>
      <c r="AS477" s="62">
        <v>4.6154899640241638</v>
      </c>
    </row>
    <row r="478" spans="44:45">
      <c r="AR478" s="61" t="s">
        <v>954</v>
      </c>
      <c r="AS478" s="62">
        <v>2.0904279911774211</v>
      </c>
    </row>
    <row r="479" spans="44:45">
      <c r="AR479" s="61" t="s">
        <v>955</v>
      </c>
      <c r="AS479" s="62">
        <v>2.4614063325570896</v>
      </c>
    </row>
    <row r="480" spans="44:45">
      <c r="AR480" s="61" t="s">
        <v>956</v>
      </c>
      <c r="AS480" s="62">
        <v>2.0743435773765668</v>
      </c>
    </row>
    <row r="481" spans="44:45">
      <c r="AR481" s="61" t="s">
        <v>957</v>
      </c>
      <c r="AS481" s="62">
        <v>2.5767871041607577</v>
      </c>
    </row>
    <row r="482" spans="44:45">
      <c r="AR482" s="61" t="s">
        <v>958</v>
      </c>
      <c r="AS482" s="62">
        <v>3.052693849283969</v>
      </c>
    </row>
    <row r="483" spans="44:45">
      <c r="AR483" s="61" t="s">
        <v>959</v>
      </c>
      <c r="AS483" s="62">
        <v>2.3243818607879803</v>
      </c>
    </row>
    <row r="484" spans="44:45">
      <c r="AR484" s="61" t="s">
        <v>960</v>
      </c>
      <c r="AS484" s="62">
        <v>4.3542239685193636</v>
      </c>
    </row>
    <row r="485" spans="44:45">
      <c r="AR485" s="61" t="s">
        <v>961</v>
      </c>
      <c r="AS485" s="62">
        <v>3.7830340109649114</v>
      </c>
    </row>
    <row r="486" spans="44:45">
      <c r="AR486" s="61" t="s">
        <v>962</v>
      </c>
      <c r="AS486" s="62">
        <v>4.1903875929419883</v>
      </c>
    </row>
    <row r="487" spans="44:45">
      <c r="AR487" s="61" t="s">
        <v>963</v>
      </c>
      <c r="AS487" s="62">
        <v>1.5868021212809253</v>
      </c>
    </row>
    <row r="488" spans="44:45">
      <c r="AR488" s="61" t="s">
        <v>964</v>
      </c>
      <c r="AS488" s="62">
        <v>3.2601314008643385</v>
      </c>
    </row>
    <row r="489" spans="44:45">
      <c r="AR489" s="61" t="s">
        <v>965</v>
      </c>
      <c r="AS489" s="62">
        <v>2.7636166426673299</v>
      </c>
    </row>
    <row r="490" spans="44:45">
      <c r="AR490" s="61" t="s">
        <v>966</v>
      </c>
      <c r="AS490" s="62">
        <v>2.303863660315983</v>
      </c>
    </row>
    <row r="491" spans="44:45">
      <c r="AR491" s="61" t="s">
        <v>967</v>
      </c>
      <c r="AS491" s="62">
        <v>2.6531721535575343</v>
      </c>
    </row>
    <row r="492" spans="44:45">
      <c r="AR492" s="61" t="s">
        <v>968</v>
      </c>
      <c r="AS492" s="62">
        <v>2.9456213117809966</v>
      </c>
    </row>
    <row r="493" spans="44:45">
      <c r="AR493" s="61" t="s">
        <v>969</v>
      </c>
      <c r="AS493" s="62">
        <v>1.671171397290891</v>
      </c>
    </row>
    <row r="494" spans="44:45">
      <c r="AR494" s="61" t="s">
        <v>970</v>
      </c>
      <c r="AS494" s="62">
        <v>3.5826382221130189</v>
      </c>
    </row>
    <row r="495" spans="44:45">
      <c r="AR495" s="61" t="s">
        <v>971</v>
      </c>
      <c r="AS495" s="62">
        <v>4.4249235391616821</v>
      </c>
    </row>
    <row r="496" spans="44:45">
      <c r="AR496" s="61" t="s">
        <v>972</v>
      </c>
      <c r="AS496" s="62">
        <v>1.5426666171406396</v>
      </c>
    </row>
    <row r="497" spans="44:45">
      <c r="AR497" s="61" t="s">
        <v>973</v>
      </c>
      <c r="AS497" s="62">
        <v>3.8101403636828763</v>
      </c>
    </row>
    <row r="498" spans="44:45">
      <c r="AR498" s="61" t="s">
        <v>974</v>
      </c>
      <c r="AS498" s="62">
        <v>2.4890606558328727</v>
      </c>
    </row>
    <row r="499" spans="44:45">
      <c r="AR499" s="61" t="s">
        <v>975</v>
      </c>
      <c r="AS499" s="62">
        <v>3.6491347903647693</v>
      </c>
    </row>
    <row r="500" spans="44:45">
      <c r="AR500" s="61" t="s">
        <v>976</v>
      </c>
      <c r="AS500" s="62">
        <v>1.2314420776674524</v>
      </c>
    </row>
    <row r="501" spans="44:45">
      <c r="AR501" s="61" t="s">
        <v>977</v>
      </c>
      <c r="AS501" s="62">
        <v>2.1463937476510182</v>
      </c>
    </row>
    <row r="502" spans="44:45">
      <c r="AR502" s="61" t="s">
        <v>978</v>
      </c>
      <c r="AS502" s="62">
        <v>2.9001181549829198</v>
      </c>
    </row>
    <row r="503" spans="44:45">
      <c r="AR503" s="61" t="s">
        <v>979</v>
      </c>
      <c r="AS503" s="62">
        <v>2.4995800989272539</v>
      </c>
    </row>
    <row r="504" spans="44:45">
      <c r="AR504" s="61" t="s">
        <v>980</v>
      </c>
      <c r="AS504" s="62">
        <v>3.8011443242139649</v>
      </c>
    </row>
    <row r="505" spans="44:45">
      <c r="AR505" s="61" t="s">
        <v>981</v>
      </c>
      <c r="AS505" s="62">
        <v>4.6614558262517676</v>
      </c>
    </row>
    <row r="506" spans="44:45">
      <c r="AR506" s="61" t="s">
        <v>982</v>
      </c>
      <c r="AS506" s="62">
        <v>1.8245485837978777</v>
      </c>
    </row>
    <row r="507" spans="44:45">
      <c r="AR507" s="61" t="s">
        <v>983</v>
      </c>
      <c r="AS507" s="62">
        <v>3.6334425961540546</v>
      </c>
    </row>
    <row r="508" spans="44:45">
      <c r="AR508" s="61" t="s">
        <v>984</v>
      </c>
      <c r="AS508" s="62">
        <v>3.6305481292656623</v>
      </c>
    </row>
    <row r="509" spans="44:45">
      <c r="AR509" s="61" t="s">
        <v>985</v>
      </c>
      <c r="AS509" s="62">
        <v>1.3234511091723107</v>
      </c>
    </row>
    <row r="510" spans="44:45">
      <c r="AR510" s="61" t="s">
        <v>986</v>
      </c>
      <c r="AS510" s="62">
        <v>1.8181139087828342</v>
      </c>
    </row>
    <row r="511" spans="44:45">
      <c r="AR511" s="61" t="s">
        <v>987</v>
      </c>
      <c r="AS511" s="62">
        <v>3.2564922851888696</v>
      </c>
    </row>
    <row r="512" spans="44:45">
      <c r="AR512" s="61" t="s">
        <v>988</v>
      </c>
      <c r="AS512" s="62">
        <v>2.8037924342497718</v>
      </c>
    </row>
    <row r="513" spans="44:45">
      <c r="AR513" s="61" t="s">
        <v>989</v>
      </c>
      <c r="AS513" s="62">
        <v>3.1626233370188856</v>
      </c>
    </row>
    <row r="514" spans="44:45">
      <c r="AR514" s="61" t="s">
        <v>990</v>
      </c>
      <c r="AS514" s="62">
        <v>3.2179365310439607</v>
      </c>
    </row>
    <row r="515" spans="44:45">
      <c r="AR515" s="61" t="s">
        <v>991</v>
      </c>
      <c r="AS515" s="62">
        <v>4.1731640370271634</v>
      </c>
    </row>
    <row r="516" spans="44:45">
      <c r="AR516" s="61" t="s">
        <v>992</v>
      </c>
      <c r="AS516" s="62">
        <v>2.5061580193578266</v>
      </c>
    </row>
    <row r="517" spans="44:45">
      <c r="AR517" s="61" t="s">
        <v>993</v>
      </c>
      <c r="AS517" s="62">
        <v>2.8108842191868462</v>
      </c>
    </row>
    <row r="518" spans="44:45">
      <c r="AR518" s="61" t="s">
        <v>994</v>
      </c>
      <c r="AS518" s="62">
        <v>2.5753637449524831</v>
      </c>
    </row>
    <row r="519" spans="44:45">
      <c r="AR519" s="61" t="s">
        <v>995</v>
      </c>
      <c r="AS519" s="62">
        <v>4.3749922800343484</v>
      </c>
    </row>
    <row r="520" spans="44:45">
      <c r="AR520" s="61" t="s">
        <v>996</v>
      </c>
      <c r="AS520" s="62">
        <v>3.0653380993753672</v>
      </c>
    </row>
    <row r="521" spans="44:45">
      <c r="AR521" s="61" t="s">
        <v>997</v>
      </c>
      <c r="AS521" s="62">
        <v>2.4449717632960528</v>
      </c>
    </row>
    <row r="522" spans="44:45">
      <c r="AR522" s="61" t="s">
        <v>998</v>
      </c>
      <c r="AS522" s="62">
        <v>3.7569997251266614</v>
      </c>
    </row>
    <row r="523" spans="44:45">
      <c r="AR523" s="61" t="s">
        <v>999</v>
      </c>
      <c r="AS523" s="62">
        <v>3.8511869964422658</v>
      </c>
    </row>
    <row r="524" spans="44:45">
      <c r="AR524" s="61" t="s">
        <v>1000</v>
      </c>
      <c r="AS524" s="62">
        <v>2.542139903496718</v>
      </c>
    </row>
    <row r="525" spans="44:45">
      <c r="AR525" s="61" t="s">
        <v>1001</v>
      </c>
      <c r="AS525" s="62">
        <v>2.4144582160515711</v>
      </c>
    </row>
    <row r="526" spans="44:45">
      <c r="AR526" s="61" t="s">
        <v>1002</v>
      </c>
      <c r="AS526" s="62">
        <v>2.6966448634339031</v>
      </c>
    </row>
    <row r="527" spans="44:45">
      <c r="AR527" s="61" t="s">
        <v>1003</v>
      </c>
      <c r="AS527" s="62">
        <v>1.7274895829614252</v>
      </c>
    </row>
    <row r="528" spans="44:45">
      <c r="AR528" s="61" t="s">
        <v>1004</v>
      </c>
      <c r="AS528" s="62">
        <v>3.1707678620732622</v>
      </c>
    </row>
    <row r="529" spans="44:45">
      <c r="AR529" s="61" t="s">
        <v>1005</v>
      </c>
      <c r="AS529" s="62">
        <v>3.4232970240991563</v>
      </c>
    </row>
    <row r="530" spans="44:45">
      <c r="AR530" s="61" t="s">
        <v>1006</v>
      </c>
      <c r="AS530" s="62">
        <v>2.3262065345334122</v>
      </c>
    </row>
    <row r="531" spans="44:45">
      <c r="AR531" s="61" t="s">
        <v>1007</v>
      </c>
      <c r="AS531" s="62">
        <v>2.448181142724934</v>
      </c>
    </row>
    <row r="532" spans="44:45">
      <c r="AR532" s="61" t="s">
        <v>1008</v>
      </c>
      <c r="AS532" s="62">
        <v>0.16033926233649254</v>
      </c>
    </row>
    <row r="533" spans="44:45">
      <c r="AR533" s="61" t="s">
        <v>1009</v>
      </c>
      <c r="AS533" s="62">
        <v>2.0808987604395952</v>
      </c>
    </row>
    <row r="534" spans="44:45">
      <c r="AR534" s="61" t="s">
        <v>1010</v>
      </c>
      <c r="AS534" s="62">
        <v>3.7815788194420747</v>
      </c>
    </row>
    <row r="535" spans="44:45">
      <c r="AR535" s="61" t="s">
        <v>1011</v>
      </c>
      <c r="AS535" s="62">
        <v>4.0805092642840464</v>
      </c>
    </row>
    <row r="536" spans="44:45">
      <c r="AR536" s="61" t="s">
        <v>1012</v>
      </c>
      <c r="AS536" s="62">
        <v>3.230644445764483</v>
      </c>
    </row>
    <row r="537" spans="44:45">
      <c r="AR537" s="61" t="s">
        <v>1013</v>
      </c>
      <c r="AS537" s="62">
        <v>1.8417766871862113</v>
      </c>
    </row>
    <row r="538" spans="44:45">
      <c r="AR538" s="61" t="s">
        <v>1014</v>
      </c>
      <c r="AS538" s="62">
        <v>0.45297827757894993</v>
      </c>
    </row>
    <row r="539" spans="44:45">
      <c r="AR539" s="61" t="s">
        <v>1015</v>
      </c>
      <c r="AS539" s="62">
        <v>2.890042090555653</v>
      </c>
    </row>
    <row r="540" spans="44:45">
      <c r="AR540" s="61" t="s">
        <v>1016</v>
      </c>
      <c r="AS540" s="62">
        <v>3.5684637471858878</v>
      </c>
    </row>
    <row r="541" spans="44:45">
      <c r="AR541" s="61" t="s">
        <v>1017</v>
      </c>
      <c r="AS541" s="62">
        <v>4.2763007362082135</v>
      </c>
    </row>
    <row r="542" spans="44:45">
      <c r="AR542" s="61" t="s">
        <v>1018</v>
      </c>
      <c r="AS542" s="62">
        <v>3.2069816673611058</v>
      </c>
    </row>
    <row r="543" spans="44:45">
      <c r="AR543" s="61" t="s">
        <v>1019</v>
      </c>
      <c r="AS543" s="62">
        <v>5.0335846784291789</v>
      </c>
    </row>
    <row r="544" spans="44:45">
      <c r="AR544" s="61" t="s">
        <v>1020</v>
      </c>
      <c r="AS544" s="62">
        <v>3.0024101609596983</v>
      </c>
    </row>
    <row r="545" spans="44:45">
      <c r="AR545" s="61" t="s">
        <v>1021</v>
      </c>
      <c r="AS545" s="62">
        <v>1.9427851687651128</v>
      </c>
    </row>
    <row r="546" spans="44:45">
      <c r="AR546" s="61" t="s">
        <v>1022</v>
      </c>
      <c r="AS546" s="62">
        <v>1.1837936502415687</v>
      </c>
    </row>
    <row r="547" spans="44:45">
      <c r="AR547" s="61" t="s">
        <v>1023</v>
      </c>
      <c r="AS547" s="62">
        <v>1.2678946253145114</v>
      </c>
    </row>
    <row r="548" spans="44:45">
      <c r="AR548" s="61" t="s">
        <v>1024</v>
      </c>
      <c r="AS548" s="62">
        <v>1.5111981004592963</v>
      </c>
    </row>
    <row r="549" spans="44:45">
      <c r="AR549" s="61" t="s">
        <v>1025</v>
      </c>
      <c r="AS549" s="62">
        <v>1.8478884915821254</v>
      </c>
    </row>
    <row r="550" spans="44:45">
      <c r="AR550" s="61" t="s">
        <v>1026</v>
      </c>
      <c r="AS550" s="62">
        <v>2.1947356647870038</v>
      </c>
    </row>
    <row r="551" spans="44:45">
      <c r="AR551" s="61" t="s">
        <v>1027</v>
      </c>
      <c r="AS551" s="62">
        <v>3.5187996521271998</v>
      </c>
    </row>
    <row r="552" spans="44:45">
      <c r="AR552" s="61" t="s">
        <v>1028</v>
      </c>
      <c r="AS552" s="62">
        <v>4.9237631931900978</v>
      </c>
    </row>
    <row r="553" spans="44:45">
      <c r="AR553" s="61" t="s">
        <v>1029</v>
      </c>
      <c r="AS553" s="62">
        <v>3.0461068339063786</v>
      </c>
    </row>
    <row r="554" spans="44:45">
      <c r="AR554" s="61" t="s">
        <v>1030</v>
      </c>
      <c r="AS554" s="62">
        <v>3.0541490408068057</v>
      </c>
    </row>
    <row r="555" spans="44:45">
      <c r="AR555" s="61" t="s">
        <v>1031</v>
      </c>
      <c r="AS555" s="62">
        <v>4.0094618119182996</v>
      </c>
    </row>
    <row r="556" spans="44:45">
      <c r="AR556" s="61" t="s">
        <v>1032</v>
      </c>
      <c r="AS556" s="62">
        <v>3.3276363713666797</v>
      </c>
    </row>
    <row r="557" spans="44:45">
      <c r="AR557" s="61" t="s">
        <v>1033</v>
      </c>
      <c r="AS557" s="62">
        <v>2.430635853059357</v>
      </c>
    </row>
    <row r="558" spans="44:45">
      <c r="AR558" s="61" t="s">
        <v>1034</v>
      </c>
      <c r="AS558" s="62">
        <v>5.565066097304225</v>
      </c>
    </row>
    <row r="559" spans="44:45">
      <c r="AR559" s="61" t="s">
        <v>1035</v>
      </c>
      <c r="AS559" s="62">
        <v>2.1452909853251185</v>
      </c>
    </row>
    <row r="560" spans="44:45">
      <c r="AR560" s="61" t="s">
        <v>1036</v>
      </c>
      <c r="AS560" s="62">
        <v>5.284541551489383</v>
      </c>
    </row>
    <row r="561" spans="44:45">
      <c r="AR561" s="61" t="s">
        <v>1037</v>
      </c>
      <c r="AS561" s="62">
        <v>3.6378434136422584</v>
      </c>
    </row>
    <row r="562" spans="44:45">
      <c r="AR562" s="61" t="s">
        <v>1038</v>
      </c>
      <c r="AS562" s="62">
        <v>3.4022217581223231</v>
      </c>
    </row>
    <row r="563" spans="44:45">
      <c r="AR563" s="61" t="s">
        <v>1039</v>
      </c>
      <c r="AS563" s="62">
        <v>2.3702931533334777</v>
      </c>
    </row>
    <row r="564" spans="44:45">
      <c r="AR564" s="61" t="s">
        <v>1040</v>
      </c>
      <c r="AS564" s="62">
        <v>2.3885626281553414</v>
      </c>
    </row>
    <row r="565" spans="44:45">
      <c r="AR565" s="61" t="s">
        <v>1041</v>
      </c>
      <c r="AS565" s="62">
        <v>3.0197758254216751</v>
      </c>
    </row>
    <row r="566" spans="44:45">
      <c r="AR566" s="61" t="s">
        <v>1042</v>
      </c>
      <c r="AS566" s="62">
        <v>2.4363838595745619</v>
      </c>
    </row>
    <row r="567" spans="44:45">
      <c r="AR567" s="61" t="s">
        <v>1043</v>
      </c>
      <c r="AS567" s="62">
        <v>2.1795129972160794</v>
      </c>
    </row>
    <row r="568" spans="44:45">
      <c r="AR568" s="61" t="s">
        <v>1044</v>
      </c>
      <c r="AS568" s="62">
        <v>5.8067006496712565</v>
      </c>
    </row>
    <row r="569" spans="44:45">
      <c r="AR569" s="61" t="s">
        <v>1045</v>
      </c>
      <c r="AS569" s="62">
        <v>3.0641875885776244</v>
      </c>
    </row>
    <row r="570" spans="44:45">
      <c r="AR570" s="61" t="s">
        <v>1046</v>
      </c>
      <c r="AS570" s="62">
        <v>1.5714794092928059</v>
      </c>
    </row>
    <row r="571" spans="44:45">
      <c r="AR571" s="61" t="s">
        <v>1047</v>
      </c>
      <c r="AS571" s="62">
        <v>5.2544008970726281</v>
      </c>
    </row>
    <row r="572" spans="44:45">
      <c r="AR572" s="61" t="s">
        <v>1048</v>
      </c>
      <c r="AS572" s="62">
        <v>1.9647380971291568</v>
      </c>
    </row>
    <row r="573" spans="44:45">
      <c r="AR573" s="61" t="s">
        <v>1049</v>
      </c>
      <c r="AS573" s="62">
        <v>3.5418689852376701</v>
      </c>
    </row>
    <row r="574" spans="44:45">
      <c r="AR574" s="61" t="s">
        <v>1050</v>
      </c>
      <c r="AS574" s="62">
        <v>2.2087282407737803</v>
      </c>
    </row>
    <row r="575" spans="44:45">
      <c r="AR575" s="61" t="s">
        <v>1051</v>
      </c>
      <c r="AS575" s="62">
        <v>3.6744653546775226</v>
      </c>
    </row>
    <row r="576" spans="44:45">
      <c r="AR576" s="61" t="s">
        <v>1052</v>
      </c>
      <c r="AS576" s="62">
        <v>3.5212518772168551</v>
      </c>
    </row>
    <row r="577" spans="44:45">
      <c r="AR577" s="61" t="s">
        <v>1053</v>
      </c>
      <c r="AS577" s="62">
        <v>2.928987790553947</v>
      </c>
    </row>
    <row r="578" spans="44:45">
      <c r="AR578" s="61" t="s">
        <v>1054</v>
      </c>
      <c r="AS578" s="62">
        <v>4.513585630164016</v>
      </c>
    </row>
    <row r="579" spans="44:45">
      <c r="AR579" s="61" t="s">
        <v>1055</v>
      </c>
      <c r="AS579" s="62">
        <v>3.7718563210801221</v>
      </c>
    </row>
    <row r="580" spans="44:45">
      <c r="AR580" s="61" t="s">
        <v>1056</v>
      </c>
      <c r="AS580" s="62">
        <v>2.4820745996548794</v>
      </c>
    </row>
    <row r="581" spans="44:45">
      <c r="AR581" s="61" t="s">
        <v>1057</v>
      </c>
      <c r="AS581" s="62">
        <v>3.7715470928815193</v>
      </c>
    </row>
    <row r="582" spans="44:45">
      <c r="AR582" s="61" t="s">
        <v>1058</v>
      </c>
      <c r="AS582" s="62">
        <v>1.4803753250162117</v>
      </c>
    </row>
    <row r="583" spans="44:45">
      <c r="AR583" s="61" t="s">
        <v>1059</v>
      </c>
      <c r="AS583" s="62">
        <v>0.48855771031230688</v>
      </c>
    </row>
    <row r="584" spans="44:45">
      <c r="AR584" s="61" t="s">
        <v>1060</v>
      </c>
      <c r="AS584" s="62">
        <v>2.8865780526102753</v>
      </c>
    </row>
    <row r="585" spans="44:45">
      <c r="AR585" s="61" t="s">
        <v>1061</v>
      </c>
      <c r="AS585" s="62">
        <v>3.8686811270308681</v>
      </c>
    </row>
    <row r="586" spans="44:45">
      <c r="AR586" s="61" t="s">
        <v>1062</v>
      </c>
      <c r="AS586" s="62">
        <v>3.2254625997011317</v>
      </c>
    </row>
    <row r="587" spans="44:45">
      <c r="AR587" s="61" t="s">
        <v>1063</v>
      </c>
      <c r="AS587" s="62">
        <v>2.7832389908580808</v>
      </c>
    </row>
    <row r="588" spans="44:45">
      <c r="AR588" s="61" t="s">
        <v>1064</v>
      </c>
      <c r="AS588" s="62">
        <v>4.0889129953284282</v>
      </c>
    </row>
    <row r="589" spans="44:45">
      <c r="AR589" s="61" t="s">
        <v>1065</v>
      </c>
      <c r="AS589" s="62">
        <v>4.6590274753980339</v>
      </c>
    </row>
    <row r="590" spans="44:45">
      <c r="AR590" s="61" t="s">
        <v>1066</v>
      </c>
      <c r="AS590" s="62">
        <v>2.4257723301416263</v>
      </c>
    </row>
    <row r="591" spans="44:45">
      <c r="AR591" s="61" t="s">
        <v>1067</v>
      </c>
      <c r="AS591" s="62">
        <v>2.459193986695027</v>
      </c>
    </row>
    <row r="592" spans="44:45">
      <c r="AR592" s="61" t="s">
        <v>1068</v>
      </c>
      <c r="AS592" s="62">
        <v>2.5436689914640738</v>
      </c>
    </row>
    <row r="593" spans="44:45">
      <c r="AR593" s="61" t="s">
        <v>1069</v>
      </c>
      <c r="AS593" s="62">
        <v>2.4704057826311328</v>
      </c>
    </row>
    <row r="594" spans="44:45">
      <c r="AR594" s="61" t="s">
        <v>1070</v>
      </c>
      <c r="AS594" s="62">
        <v>4.4012539395480417</v>
      </c>
    </row>
    <row r="595" spans="44:45">
      <c r="AR595" s="61" t="s">
        <v>1071</v>
      </c>
      <c r="AS595" s="62">
        <v>3.5929132385062985</v>
      </c>
    </row>
    <row r="596" spans="44:45">
      <c r="AR596" s="61" t="s">
        <v>1072</v>
      </c>
      <c r="AS596" s="62">
        <v>4.3636645235237665</v>
      </c>
    </row>
    <row r="597" spans="44:45">
      <c r="AR597" s="61" t="s">
        <v>1073</v>
      </c>
      <c r="AS597" s="62">
        <v>2.2330799614137504</v>
      </c>
    </row>
    <row r="598" spans="44:45">
      <c r="AR598" s="61" t="s">
        <v>1074</v>
      </c>
      <c r="AS598" s="62">
        <v>1.7545288604451343</v>
      </c>
    </row>
    <row r="599" spans="44:45">
      <c r="AR599" s="61" t="s">
        <v>1075</v>
      </c>
      <c r="AS599" s="62">
        <v>2.1262870935315732</v>
      </c>
    </row>
    <row r="600" spans="44:45">
      <c r="AR600" s="61" t="s">
        <v>1076</v>
      </c>
      <c r="AS600" s="62">
        <v>3.5899050847801846</v>
      </c>
    </row>
    <row r="601" spans="44:45">
      <c r="AR601" s="61" t="s">
        <v>1077</v>
      </c>
      <c r="AS601" s="62">
        <v>2.3656217611714965</v>
      </c>
    </row>
    <row r="602" spans="44:45">
      <c r="AR602" s="61" t="s">
        <v>1078</v>
      </c>
      <c r="AS602" s="62">
        <v>2.3845926837821025</v>
      </c>
    </row>
    <row r="603" spans="44:45">
      <c r="AR603" s="61" t="s">
        <v>1079</v>
      </c>
      <c r="AS603" s="62">
        <v>3.7536436896771193</v>
      </c>
    </row>
    <row r="604" spans="44:45">
      <c r="AR604" s="61" t="s">
        <v>1080</v>
      </c>
      <c r="AS604" s="62">
        <v>4.7920683603733778</v>
      </c>
    </row>
    <row r="605" spans="44:45">
      <c r="AR605" s="61" t="s">
        <v>1081</v>
      </c>
      <c r="AS605" s="62">
        <v>4.6581225281697698</v>
      </c>
    </row>
    <row r="606" spans="44:45">
      <c r="AR606" s="61" t="s">
        <v>1082</v>
      </c>
      <c r="AS606" s="62">
        <v>3.8962319952843245</v>
      </c>
    </row>
    <row r="607" spans="44:45">
      <c r="AR607" s="61" t="s">
        <v>1083</v>
      </c>
      <c r="AS607" s="62">
        <v>3.7289736458915286</v>
      </c>
    </row>
    <row r="608" spans="44:45">
      <c r="AR608" s="61" t="s">
        <v>1084</v>
      </c>
      <c r="AS608" s="62">
        <v>3.546659748579259</v>
      </c>
    </row>
    <row r="609" spans="44:45">
      <c r="AR609" s="61" t="s">
        <v>1085</v>
      </c>
      <c r="AS609" s="62">
        <v>3.5801916813652497</v>
      </c>
    </row>
    <row r="610" spans="44:45">
      <c r="AR610" s="61" t="s">
        <v>1086</v>
      </c>
      <c r="AS610" s="62">
        <v>0.73775925859808922</v>
      </c>
    </row>
    <row r="611" spans="44:45">
      <c r="AR611" s="61" t="s">
        <v>1087</v>
      </c>
      <c r="AS611" s="62">
        <v>2.0449441611417569</v>
      </c>
    </row>
    <row r="612" spans="44:45">
      <c r="AR612" s="61" t="s">
        <v>1088</v>
      </c>
      <c r="AS612" s="62">
        <v>1.2048757374286652</v>
      </c>
    </row>
    <row r="613" spans="44:45">
      <c r="AR613" s="61" t="s">
        <v>1089</v>
      </c>
      <c r="AS613" s="62">
        <v>3.1748833255987847</v>
      </c>
    </row>
    <row r="614" spans="44:45">
      <c r="AR614" s="61" t="s">
        <v>1090</v>
      </c>
      <c r="AS614" s="62">
        <v>3.2809201760101132</v>
      </c>
    </row>
    <row r="615" spans="44:45">
      <c r="AR615" s="61" t="s">
        <v>1091</v>
      </c>
      <c r="AS615" s="62">
        <v>4.6443664208054543</v>
      </c>
    </row>
    <row r="616" spans="44:45">
      <c r="AR616" s="61" t="s">
        <v>1092</v>
      </c>
      <c r="AS616" s="62">
        <v>4.2287000572541729</v>
      </c>
    </row>
    <row r="617" spans="44:45">
      <c r="AR617" s="61" t="s">
        <v>1093</v>
      </c>
      <c r="AS617" s="62">
        <v>3.3909667611878831</v>
      </c>
    </row>
    <row r="618" spans="44:45">
      <c r="AR618" s="61" t="s">
        <v>1094</v>
      </c>
      <c r="AS618" s="62">
        <v>3.6502682481368538</v>
      </c>
    </row>
    <row r="619" spans="44:45">
      <c r="AR619" s="61" t="s">
        <v>1095</v>
      </c>
      <c r="AS619" s="62">
        <v>2.9315184595616302</v>
      </c>
    </row>
    <row r="620" spans="44:45">
      <c r="AR620" s="61" t="s">
        <v>1096</v>
      </c>
      <c r="AS620" s="62">
        <v>2.7446934685285669</v>
      </c>
    </row>
    <row r="621" spans="44:45" ht="13.5" thickBot="1">
      <c r="AR621" s="63" t="s">
        <v>1097</v>
      </c>
      <c r="AS621" s="64">
        <v>2.7568454546126304</v>
      </c>
    </row>
  </sheetData>
  <pageMargins left="0.75" right="0.75" top="1" bottom="1" header="0.5" footer="0.5"/>
  <pageSetup orientation="portrait" horizontalDpi="216" verticalDpi="216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"/>
  <dimension ref="A1:AW49"/>
  <sheetViews>
    <sheetView showGridLines="0" zoomScaleNormal="100" workbookViewId="0">
      <selection sqref="A1:C34"/>
    </sheetView>
  </sheetViews>
  <sheetFormatPr defaultRowHeight="12.75"/>
  <cols>
    <col min="1" max="1" width="8.6640625" style="34" bestFit="1" customWidth="1"/>
    <col min="2" max="2" width="12.33203125" style="34" customWidth="1"/>
    <col min="3" max="3" width="6.33203125" style="34" customWidth="1"/>
    <col min="4" max="4" width="5.83203125" style="34" customWidth="1"/>
    <col min="5" max="5" width="12.6640625" style="34" customWidth="1"/>
    <col min="6" max="6" width="12.83203125" style="34" customWidth="1"/>
    <col min="7" max="7" width="12.6640625" style="34" customWidth="1"/>
    <col min="8" max="8" width="5.83203125" style="34" customWidth="1"/>
    <col min="9" max="9" width="9.33203125" style="34"/>
    <col min="10" max="10" width="12" style="34" customWidth="1"/>
    <col min="11" max="11" width="13.6640625" style="34" customWidth="1"/>
    <col min="12" max="12" width="5.83203125" style="34" customWidth="1"/>
    <col min="13" max="13" width="9.83203125" style="34" customWidth="1"/>
    <col min="14" max="14" width="15.83203125" style="34" customWidth="1"/>
    <col min="15" max="15" width="18.5" style="34" customWidth="1"/>
    <col min="16" max="16" width="6.6640625" style="34" customWidth="1"/>
    <col min="17" max="17" width="9.33203125" style="34"/>
    <col min="18" max="18" width="19.5" style="34" customWidth="1"/>
    <col min="19" max="19" width="14.1640625" style="34" customWidth="1"/>
    <col min="20" max="20" width="4.6640625" style="34" customWidth="1"/>
    <col min="21" max="21" width="9.33203125" style="34"/>
    <col min="22" max="22" width="24" style="34" customWidth="1"/>
    <col min="23" max="23" width="17.33203125" style="34" customWidth="1"/>
    <col min="24" max="27" width="9.33203125" style="34"/>
    <col min="28" max="28" width="12.6640625" style="34" bestFit="1" customWidth="1"/>
    <col min="29" max="29" width="9.33203125" style="34"/>
    <col min="30" max="30" width="16.1640625" style="34" customWidth="1"/>
    <col min="31" max="31" width="19" style="34" customWidth="1"/>
    <col min="32" max="33" width="9.33203125" style="34"/>
    <col min="34" max="34" width="14.33203125" style="34" customWidth="1"/>
    <col min="35" max="38" width="9.33203125" style="34"/>
    <col min="39" max="39" width="11.1640625" style="34" bestFit="1" customWidth="1"/>
    <col min="40" max="46" width="9.33203125" style="34"/>
    <col min="47" max="47" width="12.5" style="34" bestFit="1" customWidth="1"/>
    <col min="48" max="48" width="11.83203125" style="34" customWidth="1"/>
    <col min="49" max="16384" width="9.33203125" style="34"/>
  </cols>
  <sheetData>
    <row r="1" spans="1:49" s="33" customFormat="1" ht="117.75" thickBot="1">
      <c r="A1" s="234" t="s">
        <v>1</v>
      </c>
      <c r="B1" s="235" t="s">
        <v>2</v>
      </c>
      <c r="C1" s="236" t="s">
        <v>3</v>
      </c>
      <c r="D1" s="32"/>
      <c r="E1" s="234" t="s">
        <v>1230</v>
      </c>
      <c r="F1" s="235" t="s">
        <v>1231</v>
      </c>
      <c r="G1" s="236" t="s">
        <v>374</v>
      </c>
      <c r="H1" s="32"/>
      <c r="I1" s="234" t="s">
        <v>4</v>
      </c>
      <c r="J1" s="235" t="s">
        <v>5</v>
      </c>
      <c r="K1" s="236" t="s">
        <v>6</v>
      </c>
      <c r="M1" s="97"/>
      <c r="N1" s="99" t="s">
        <v>7</v>
      </c>
      <c r="O1" s="98" t="s">
        <v>8</v>
      </c>
      <c r="Q1" s="97"/>
      <c r="R1" s="99" t="s">
        <v>9</v>
      </c>
      <c r="S1" s="98" t="s">
        <v>10</v>
      </c>
      <c r="U1" s="97"/>
      <c r="V1" s="99" t="s">
        <v>11</v>
      </c>
      <c r="W1" s="98" t="s">
        <v>12</v>
      </c>
      <c r="Y1" s="104" t="s">
        <v>4</v>
      </c>
      <c r="Z1" s="105" t="s">
        <v>60</v>
      </c>
      <c r="AA1" s="102" t="s">
        <v>61</v>
      </c>
      <c r="AC1" s="234" t="s">
        <v>96</v>
      </c>
      <c r="AD1" s="235" t="s">
        <v>97</v>
      </c>
      <c r="AE1" s="236" t="s">
        <v>98</v>
      </c>
      <c r="AG1" s="238" t="s">
        <v>4</v>
      </c>
      <c r="AH1" s="239" t="s">
        <v>5</v>
      </c>
      <c r="AI1" s="240" t="s">
        <v>295</v>
      </c>
      <c r="AK1" s="234"/>
      <c r="AL1" s="237" t="s">
        <v>373</v>
      </c>
      <c r="AM1" s="237" t="s">
        <v>374</v>
      </c>
      <c r="AN1" s="236" t="s">
        <v>389</v>
      </c>
      <c r="AO1" s="23"/>
      <c r="AP1" s="234"/>
      <c r="AQ1" s="237" t="s">
        <v>390</v>
      </c>
      <c r="AR1" s="237" t="s">
        <v>374</v>
      </c>
      <c r="AS1" s="236" t="s">
        <v>389</v>
      </c>
      <c r="AU1" s="104"/>
      <c r="AV1" s="105" t="s">
        <v>421</v>
      </c>
      <c r="AW1" s="102" t="s">
        <v>422</v>
      </c>
    </row>
    <row r="2" spans="1:49">
      <c r="A2" s="225" t="s">
        <v>13</v>
      </c>
      <c r="B2" s="226">
        <v>8</v>
      </c>
      <c r="C2" s="232">
        <v>1737</v>
      </c>
      <c r="E2" s="331" t="s">
        <v>1222</v>
      </c>
      <c r="F2" s="332">
        <v>6</v>
      </c>
      <c r="G2" s="333">
        <v>15</v>
      </c>
      <c r="I2" s="225" t="s">
        <v>14</v>
      </c>
      <c r="J2" s="226">
        <v>65</v>
      </c>
      <c r="K2" s="232">
        <v>370</v>
      </c>
      <c r="M2" s="85" t="s">
        <v>15</v>
      </c>
      <c r="N2" s="87">
        <v>0</v>
      </c>
      <c r="O2" s="88">
        <v>29</v>
      </c>
      <c r="Q2" s="233" t="s">
        <v>1213</v>
      </c>
      <c r="R2" s="87">
        <v>7</v>
      </c>
      <c r="S2" s="88">
        <v>10</v>
      </c>
      <c r="U2" s="85" t="s">
        <v>15</v>
      </c>
      <c r="V2" s="87">
        <v>4</v>
      </c>
      <c r="W2" s="88">
        <v>4</v>
      </c>
      <c r="Y2" s="355">
        <v>43405</v>
      </c>
      <c r="Z2" s="356">
        <v>3</v>
      </c>
      <c r="AA2" s="357">
        <v>24222</v>
      </c>
      <c r="AB2" s="292"/>
      <c r="AC2" s="231" t="s">
        <v>1194</v>
      </c>
      <c r="AD2" s="226">
        <v>58</v>
      </c>
      <c r="AE2" s="232">
        <v>172</v>
      </c>
      <c r="AG2" s="228">
        <v>42370</v>
      </c>
      <c r="AH2" s="229">
        <v>47</v>
      </c>
      <c r="AI2" s="230">
        <v>257</v>
      </c>
      <c r="AK2" s="225" t="s">
        <v>375</v>
      </c>
      <c r="AL2" s="226">
        <v>227</v>
      </c>
      <c r="AM2" s="226">
        <v>2586</v>
      </c>
      <c r="AN2" s="94">
        <f>AL2/AM2</f>
        <v>8.7780355761794271E-2</v>
      </c>
      <c r="AO2" s="23"/>
      <c r="AP2" s="225" t="s">
        <v>375</v>
      </c>
      <c r="AQ2" s="226">
        <v>11</v>
      </c>
      <c r="AR2" s="226">
        <v>2586</v>
      </c>
      <c r="AS2" s="227">
        <f>AQ2/AR2</f>
        <v>4.2536736272235113E-3</v>
      </c>
      <c r="AU2" s="224" t="s">
        <v>423</v>
      </c>
      <c r="AV2" s="92">
        <v>1</v>
      </c>
      <c r="AW2" s="90">
        <v>398</v>
      </c>
    </row>
    <row r="3" spans="1:49">
      <c r="A3" s="207" t="s">
        <v>16</v>
      </c>
      <c r="B3" s="35">
        <v>6</v>
      </c>
      <c r="C3" s="208">
        <v>3467</v>
      </c>
      <c r="E3" s="207" t="s">
        <v>1228</v>
      </c>
      <c r="F3" s="35">
        <v>1</v>
      </c>
      <c r="G3" s="208">
        <v>21</v>
      </c>
      <c r="I3" s="207" t="s">
        <v>13</v>
      </c>
      <c r="J3" s="35">
        <v>64</v>
      </c>
      <c r="K3" s="208">
        <v>383</v>
      </c>
      <c r="M3" s="54" t="s">
        <v>17</v>
      </c>
      <c r="N3" s="9">
        <v>1</v>
      </c>
      <c r="O3" s="55">
        <v>32</v>
      </c>
      <c r="Q3" s="54" t="s">
        <v>13</v>
      </c>
      <c r="R3" s="9">
        <v>6</v>
      </c>
      <c r="S3" s="55">
        <v>7</v>
      </c>
      <c r="U3" s="54" t="s">
        <v>17</v>
      </c>
      <c r="V3" s="9">
        <v>4</v>
      </c>
      <c r="W3" s="55">
        <v>6</v>
      </c>
      <c r="Y3" s="213">
        <v>43435</v>
      </c>
      <c r="Z3" s="24">
        <v>1</v>
      </c>
      <c r="AA3" s="62">
        <v>23616</v>
      </c>
      <c r="AB3" s="292"/>
      <c r="AC3" s="61" t="s">
        <v>13</v>
      </c>
      <c r="AD3" s="24">
        <v>93</v>
      </c>
      <c r="AE3" s="208">
        <v>165</v>
      </c>
      <c r="AG3" s="216" t="s">
        <v>13</v>
      </c>
      <c r="AH3" s="206">
        <v>48</v>
      </c>
      <c r="AI3" s="215">
        <v>265</v>
      </c>
      <c r="AK3" s="207" t="s">
        <v>376</v>
      </c>
      <c r="AL3" s="35">
        <v>183</v>
      </c>
      <c r="AM3" s="35">
        <v>2520</v>
      </c>
      <c r="AN3" s="71">
        <f t="shared" ref="AN3:AN31" si="0">AL3/AM3</f>
        <v>7.2619047619047625E-2</v>
      </c>
      <c r="AO3" s="23"/>
      <c r="AP3" s="207" t="s">
        <v>376</v>
      </c>
      <c r="AQ3" s="35">
        <v>8</v>
      </c>
      <c r="AR3" s="35">
        <v>2520</v>
      </c>
      <c r="AS3" s="220">
        <f t="shared" ref="AS3:AS31" si="1">AQ3/AR3</f>
        <v>3.1746031746031746E-3</v>
      </c>
      <c r="AU3" s="222" t="s">
        <v>424</v>
      </c>
      <c r="AV3" s="24">
        <v>8</v>
      </c>
      <c r="AW3" s="62">
        <v>496</v>
      </c>
    </row>
    <row r="4" spans="1:49">
      <c r="A4" s="207" t="s">
        <v>18</v>
      </c>
      <c r="B4" s="35">
        <v>4</v>
      </c>
      <c r="C4" s="208">
        <v>3176</v>
      </c>
      <c r="E4" s="207" t="s">
        <v>1229</v>
      </c>
      <c r="F4" s="35">
        <v>1</v>
      </c>
      <c r="G4" s="208">
        <v>25</v>
      </c>
      <c r="I4" s="207" t="s">
        <v>16</v>
      </c>
      <c r="J4" s="35">
        <v>77</v>
      </c>
      <c r="K4" s="208">
        <v>446</v>
      </c>
      <c r="M4" s="54" t="s">
        <v>19</v>
      </c>
      <c r="N4" s="9">
        <v>0</v>
      </c>
      <c r="O4" s="55">
        <v>28</v>
      </c>
      <c r="Q4" s="54" t="s">
        <v>16</v>
      </c>
      <c r="R4" s="9">
        <v>6</v>
      </c>
      <c r="S4" s="55">
        <v>7</v>
      </c>
      <c r="U4" s="54" t="s">
        <v>19</v>
      </c>
      <c r="V4" s="9">
        <v>2</v>
      </c>
      <c r="W4" s="55">
        <v>2</v>
      </c>
      <c r="Y4" s="213">
        <v>43466</v>
      </c>
      <c r="Z4" s="24">
        <v>4</v>
      </c>
      <c r="AA4" s="62">
        <v>23072</v>
      </c>
      <c r="AB4" s="292"/>
      <c r="AC4" s="61" t="s">
        <v>16</v>
      </c>
      <c r="AD4" s="24">
        <v>77</v>
      </c>
      <c r="AE4" s="208">
        <v>125</v>
      </c>
      <c r="AG4" s="216" t="s">
        <v>16</v>
      </c>
      <c r="AH4" s="206">
        <v>50</v>
      </c>
      <c r="AI4" s="215">
        <v>298</v>
      </c>
      <c r="AK4" s="207" t="s">
        <v>377</v>
      </c>
      <c r="AL4" s="35">
        <v>181</v>
      </c>
      <c r="AM4" s="35">
        <v>2390</v>
      </c>
      <c r="AN4" s="71">
        <f t="shared" si="0"/>
        <v>7.5732217573221752E-2</v>
      </c>
      <c r="AO4" s="23"/>
      <c r="AP4" s="207" t="s">
        <v>377</v>
      </c>
      <c r="AQ4" s="35">
        <v>11</v>
      </c>
      <c r="AR4" s="35">
        <v>2390</v>
      </c>
      <c r="AS4" s="220">
        <f t="shared" si="1"/>
        <v>4.6025104602510462E-3</v>
      </c>
      <c r="AU4" s="222" t="s">
        <v>425</v>
      </c>
      <c r="AV4" s="24">
        <v>0</v>
      </c>
      <c r="AW4" s="62">
        <v>543</v>
      </c>
    </row>
    <row r="5" spans="1:49">
      <c r="A5" s="207" t="s">
        <v>20</v>
      </c>
      <c r="B5" s="35">
        <v>5</v>
      </c>
      <c r="C5" s="208">
        <v>3362</v>
      </c>
      <c r="E5" s="207" t="s">
        <v>1223</v>
      </c>
      <c r="F5" s="35">
        <v>4</v>
      </c>
      <c r="G5" s="208">
        <v>16</v>
      </c>
      <c r="I5" s="207" t="s">
        <v>18</v>
      </c>
      <c r="J5" s="35">
        <v>59</v>
      </c>
      <c r="K5" s="208">
        <v>454</v>
      </c>
      <c r="M5" s="54" t="s">
        <v>21</v>
      </c>
      <c r="N5" s="9">
        <v>0</v>
      </c>
      <c r="O5" s="55">
        <v>29</v>
      </c>
      <c r="Q5" s="54" t="s">
        <v>18</v>
      </c>
      <c r="R5" s="9">
        <v>2</v>
      </c>
      <c r="S5" s="55">
        <v>3</v>
      </c>
      <c r="U5" s="54" t="s">
        <v>21</v>
      </c>
      <c r="V5" s="9">
        <v>0</v>
      </c>
      <c r="W5" s="55">
        <v>3</v>
      </c>
      <c r="Y5" s="213">
        <v>43497</v>
      </c>
      <c r="Z5" s="24">
        <v>2</v>
      </c>
      <c r="AA5" s="62">
        <v>19439</v>
      </c>
      <c r="AB5" s="292"/>
      <c r="AC5" s="61" t="s">
        <v>18</v>
      </c>
      <c r="AD5" s="24">
        <v>74</v>
      </c>
      <c r="AE5" s="208">
        <v>129</v>
      </c>
      <c r="AG5" s="216" t="s">
        <v>18</v>
      </c>
      <c r="AH5" s="206">
        <v>50</v>
      </c>
      <c r="AI5" s="215">
        <v>294</v>
      </c>
      <c r="AK5" s="207" t="s">
        <v>378</v>
      </c>
      <c r="AL5" s="35">
        <v>235</v>
      </c>
      <c r="AM5" s="35">
        <v>2420</v>
      </c>
      <c r="AN5" s="71">
        <f t="shared" si="0"/>
        <v>9.7107438016528921E-2</v>
      </c>
      <c r="AO5" s="23"/>
      <c r="AP5" s="207" t="s">
        <v>378</v>
      </c>
      <c r="AQ5" s="35">
        <v>9</v>
      </c>
      <c r="AR5" s="35">
        <v>2420</v>
      </c>
      <c r="AS5" s="220">
        <f t="shared" si="1"/>
        <v>3.7190082644628099E-3</v>
      </c>
      <c r="AU5" s="222" t="s">
        <v>426</v>
      </c>
      <c r="AV5" s="24">
        <v>6</v>
      </c>
      <c r="AW5" s="62">
        <v>580</v>
      </c>
    </row>
    <row r="6" spans="1:49">
      <c r="A6" s="207" t="s">
        <v>22</v>
      </c>
      <c r="B6" s="35">
        <v>3</v>
      </c>
      <c r="C6" s="208">
        <v>3164</v>
      </c>
      <c r="E6" s="207" t="s">
        <v>1224</v>
      </c>
      <c r="F6" s="35">
        <v>6</v>
      </c>
      <c r="G6" s="208">
        <v>43</v>
      </c>
      <c r="I6" s="207" t="s">
        <v>20</v>
      </c>
      <c r="J6" s="35">
        <v>64</v>
      </c>
      <c r="K6" s="208">
        <v>463</v>
      </c>
      <c r="M6" s="54" t="s">
        <v>23</v>
      </c>
      <c r="N6" s="9">
        <v>1</v>
      </c>
      <c r="O6" s="55">
        <v>21</v>
      </c>
      <c r="Q6" s="54" t="s">
        <v>20</v>
      </c>
      <c r="R6" s="9">
        <v>4</v>
      </c>
      <c r="S6" s="55">
        <v>6</v>
      </c>
      <c r="U6" s="54" t="s">
        <v>23</v>
      </c>
      <c r="V6" s="9">
        <v>4</v>
      </c>
      <c r="W6" s="55">
        <v>7</v>
      </c>
      <c r="Y6" s="213">
        <v>43525</v>
      </c>
      <c r="Z6" s="24">
        <v>2</v>
      </c>
      <c r="AA6" s="62">
        <v>24568</v>
      </c>
      <c r="AB6" s="292"/>
      <c r="AC6" s="61" t="s">
        <v>20</v>
      </c>
      <c r="AD6" s="24">
        <v>61</v>
      </c>
      <c r="AE6" s="208">
        <v>132</v>
      </c>
      <c r="AG6" s="216" t="s">
        <v>20</v>
      </c>
      <c r="AH6" s="206">
        <v>62</v>
      </c>
      <c r="AI6" s="215">
        <v>351</v>
      </c>
      <c r="AK6" s="207" t="s">
        <v>379</v>
      </c>
      <c r="AL6" s="35">
        <v>192</v>
      </c>
      <c r="AM6" s="35">
        <v>2749</v>
      </c>
      <c r="AN6" s="71">
        <f t="shared" si="0"/>
        <v>6.984357948344852E-2</v>
      </c>
      <c r="AO6" s="23"/>
      <c r="AP6" s="207" t="s">
        <v>379</v>
      </c>
      <c r="AQ6" s="35">
        <v>11</v>
      </c>
      <c r="AR6" s="35">
        <v>2749</v>
      </c>
      <c r="AS6" s="220">
        <f t="shared" si="1"/>
        <v>4.0014550745725722E-3</v>
      </c>
      <c r="AU6" s="222" t="s">
        <v>427</v>
      </c>
      <c r="AV6" s="24">
        <v>2</v>
      </c>
      <c r="AW6" s="62">
        <v>662</v>
      </c>
    </row>
    <row r="7" spans="1:49">
      <c r="A7" s="207" t="s">
        <v>24</v>
      </c>
      <c r="B7" s="35">
        <v>5</v>
      </c>
      <c r="C7" s="208">
        <v>3419</v>
      </c>
      <c r="E7" s="207" t="s">
        <v>1225</v>
      </c>
      <c r="F7" s="35">
        <v>1</v>
      </c>
      <c r="G7" s="208">
        <v>18</v>
      </c>
      <c r="I7" s="207" t="s">
        <v>22</v>
      </c>
      <c r="J7" s="35">
        <v>74</v>
      </c>
      <c r="K7" s="208">
        <v>431</v>
      </c>
      <c r="M7" s="54" t="s">
        <v>25</v>
      </c>
      <c r="N7" s="9">
        <v>1</v>
      </c>
      <c r="O7" s="55">
        <v>29</v>
      </c>
      <c r="Q7" s="54" t="s">
        <v>22</v>
      </c>
      <c r="R7" s="9">
        <v>3</v>
      </c>
      <c r="S7" s="55">
        <v>3</v>
      </c>
      <c r="U7" s="54" t="s">
        <v>25</v>
      </c>
      <c r="V7" s="9">
        <v>5</v>
      </c>
      <c r="W7" s="55">
        <v>7</v>
      </c>
      <c r="Y7" s="213">
        <v>43556</v>
      </c>
      <c r="Z7" s="24">
        <v>3</v>
      </c>
      <c r="AA7" s="62">
        <v>41020</v>
      </c>
      <c r="AB7" s="292"/>
      <c r="AC7" s="61" t="s">
        <v>22</v>
      </c>
      <c r="AD7" s="24">
        <v>68</v>
      </c>
      <c r="AE7" s="208">
        <v>177</v>
      </c>
      <c r="AG7" s="216" t="s">
        <v>22</v>
      </c>
      <c r="AH7" s="206">
        <v>47</v>
      </c>
      <c r="AI7" s="215">
        <v>245</v>
      </c>
      <c r="AK7" s="207" t="s">
        <v>380</v>
      </c>
      <c r="AL7" s="35">
        <v>235</v>
      </c>
      <c r="AM7" s="35">
        <v>2767</v>
      </c>
      <c r="AN7" s="71">
        <f t="shared" si="0"/>
        <v>8.4929526563064697E-2</v>
      </c>
      <c r="AO7" s="23"/>
      <c r="AP7" s="207" t="s">
        <v>380</v>
      </c>
      <c r="AQ7" s="35">
        <v>4</v>
      </c>
      <c r="AR7" s="35">
        <v>2767</v>
      </c>
      <c r="AS7" s="220">
        <f t="shared" si="1"/>
        <v>1.4456089627755693E-3</v>
      </c>
      <c r="AU7" s="222" t="s">
        <v>428</v>
      </c>
      <c r="AV7" s="24">
        <v>8</v>
      </c>
      <c r="AW7" s="62">
        <v>787</v>
      </c>
    </row>
    <row r="8" spans="1:49">
      <c r="A8" s="207" t="s">
        <v>17</v>
      </c>
      <c r="B8" s="35">
        <v>0</v>
      </c>
      <c r="C8" s="208">
        <v>3333</v>
      </c>
      <c r="E8" s="207" t="s">
        <v>1226</v>
      </c>
      <c r="F8" s="35">
        <v>9</v>
      </c>
      <c r="G8" s="208">
        <v>58</v>
      </c>
      <c r="I8" s="207" t="s">
        <v>15</v>
      </c>
      <c r="J8" s="35">
        <v>72</v>
      </c>
      <c r="K8" s="208">
        <v>443</v>
      </c>
      <c r="M8" s="212" t="s">
        <v>1194</v>
      </c>
      <c r="N8" s="9">
        <v>0</v>
      </c>
      <c r="O8" s="55">
        <v>31</v>
      </c>
      <c r="Q8" s="54" t="s">
        <v>15</v>
      </c>
      <c r="R8" s="9">
        <v>10</v>
      </c>
      <c r="S8" s="55">
        <v>12</v>
      </c>
      <c r="U8" s="212" t="s">
        <v>1194</v>
      </c>
      <c r="V8" s="9">
        <v>2</v>
      </c>
      <c r="W8" s="55">
        <v>2</v>
      </c>
      <c r="Y8" s="213">
        <v>43586</v>
      </c>
      <c r="Z8" s="24">
        <v>2</v>
      </c>
      <c r="AA8" s="62">
        <v>26754</v>
      </c>
      <c r="AB8" s="292"/>
      <c r="AC8" s="61" t="s">
        <v>15</v>
      </c>
      <c r="AD8" s="24">
        <v>49</v>
      </c>
      <c r="AE8" s="208">
        <v>120</v>
      </c>
      <c r="AG8" s="216" t="s">
        <v>15</v>
      </c>
      <c r="AH8" s="206">
        <v>54</v>
      </c>
      <c r="AI8" s="215">
        <v>336</v>
      </c>
      <c r="AK8" s="207" t="s">
        <v>381</v>
      </c>
      <c r="AL8" s="35">
        <v>184</v>
      </c>
      <c r="AM8" s="35">
        <v>2490</v>
      </c>
      <c r="AN8" s="71">
        <f t="shared" si="0"/>
        <v>7.3895582329317269E-2</v>
      </c>
      <c r="AO8" s="23"/>
      <c r="AP8" s="207" t="s">
        <v>381</v>
      </c>
      <c r="AQ8" s="35">
        <v>6</v>
      </c>
      <c r="AR8" s="35">
        <v>2490</v>
      </c>
      <c r="AS8" s="220">
        <f t="shared" si="1"/>
        <v>2.4096385542168677E-3</v>
      </c>
      <c r="AU8" s="222" t="s">
        <v>429</v>
      </c>
      <c r="AV8" s="24">
        <v>0</v>
      </c>
      <c r="AW8" s="62">
        <v>803</v>
      </c>
    </row>
    <row r="9" spans="1:49" ht="13.5" thickBot="1">
      <c r="A9" s="207" t="s">
        <v>19</v>
      </c>
      <c r="B9" s="35">
        <v>6</v>
      </c>
      <c r="C9" s="208">
        <v>3334</v>
      </c>
      <c r="E9" s="209" t="s">
        <v>1227</v>
      </c>
      <c r="F9" s="210">
        <v>1</v>
      </c>
      <c r="G9" s="211">
        <v>41</v>
      </c>
      <c r="I9" s="207" t="s">
        <v>17</v>
      </c>
      <c r="J9" s="35">
        <v>67</v>
      </c>
      <c r="K9" s="208">
        <v>451</v>
      </c>
      <c r="M9" s="54" t="s">
        <v>13</v>
      </c>
      <c r="N9" s="9">
        <v>1</v>
      </c>
      <c r="O9" s="55">
        <v>36</v>
      </c>
      <c r="Q9" s="54" t="s">
        <v>17</v>
      </c>
      <c r="R9" s="9">
        <v>7</v>
      </c>
      <c r="S9" s="55">
        <v>14</v>
      </c>
      <c r="U9" s="54" t="s">
        <v>13</v>
      </c>
      <c r="V9" s="9">
        <v>4</v>
      </c>
      <c r="W9" s="55">
        <v>7</v>
      </c>
      <c r="Y9" s="213">
        <v>43617</v>
      </c>
      <c r="Z9" s="24">
        <v>2</v>
      </c>
      <c r="AA9" s="62">
        <v>23390</v>
      </c>
      <c r="AB9" s="292"/>
      <c r="AC9" s="61" t="s">
        <v>17</v>
      </c>
      <c r="AD9" s="24">
        <v>48</v>
      </c>
      <c r="AE9" s="208">
        <v>132</v>
      </c>
      <c r="AG9" s="216" t="s">
        <v>17</v>
      </c>
      <c r="AH9" s="206">
        <v>55</v>
      </c>
      <c r="AI9" s="215">
        <v>281</v>
      </c>
      <c r="AK9" s="207" t="s">
        <v>382</v>
      </c>
      <c r="AL9" s="35">
        <v>175</v>
      </c>
      <c r="AM9" s="35">
        <v>2569</v>
      </c>
      <c r="AN9" s="71">
        <f t="shared" si="0"/>
        <v>6.8119891008174394E-2</v>
      </c>
      <c r="AO9" s="23"/>
      <c r="AP9" s="207" t="s">
        <v>382</v>
      </c>
      <c r="AQ9" s="35">
        <v>6</v>
      </c>
      <c r="AR9" s="35">
        <v>2569</v>
      </c>
      <c r="AS9" s="220">
        <f t="shared" si="1"/>
        <v>2.3355391202802647E-3</v>
      </c>
      <c r="AU9" s="222" t="s">
        <v>430</v>
      </c>
      <c r="AV9" s="24">
        <v>1</v>
      </c>
      <c r="AW9" s="62">
        <v>871</v>
      </c>
    </row>
    <row r="10" spans="1:49">
      <c r="A10" s="207" t="s">
        <v>21</v>
      </c>
      <c r="B10" s="35">
        <v>1</v>
      </c>
      <c r="C10" s="208">
        <v>3290</v>
      </c>
      <c r="I10" s="207" t="s">
        <v>19</v>
      </c>
      <c r="J10" s="35">
        <v>59</v>
      </c>
      <c r="K10" s="208">
        <v>433</v>
      </c>
      <c r="M10" s="54" t="s">
        <v>16</v>
      </c>
      <c r="N10" s="9">
        <v>0</v>
      </c>
      <c r="O10" s="55">
        <v>35</v>
      </c>
      <c r="Q10" s="54" t="s">
        <v>19</v>
      </c>
      <c r="R10" s="9">
        <v>9</v>
      </c>
      <c r="S10" s="55">
        <v>9</v>
      </c>
      <c r="U10" s="54" t="s">
        <v>16</v>
      </c>
      <c r="V10" s="9">
        <v>2</v>
      </c>
      <c r="W10" s="55">
        <v>3</v>
      </c>
      <c r="Y10" s="213">
        <v>43647</v>
      </c>
      <c r="Z10" s="24">
        <v>1</v>
      </c>
      <c r="AA10" s="62">
        <v>26475</v>
      </c>
      <c r="AB10" s="292"/>
      <c r="AC10" s="61" t="s">
        <v>19</v>
      </c>
      <c r="AD10" s="24">
        <v>114</v>
      </c>
      <c r="AE10" s="208">
        <v>179</v>
      </c>
      <c r="AG10" s="216" t="s">
        <v>296</v>
      </c>
      <c r="AH10" s="206">
        <v>62</v>
      </c>
      <c r="AI10" s="215">
        <v>294</v>
      </c>
      <c r="AK10" s="207" t="s">
        <v>309</v>
      </c>
      <c r="AL10" s="35">
        <v>177</v>
      </c>
      <c r="AM10" s="35">
        <v>2853</v>
      </c>
      <c r="AN10" s="71">
        <f t="shared" si="0"/>
        <v>6.203995793901157E-2</v>
      </c>
      <c r="AO10" s="23"/>
      <c r="AP10" s="207" t="s">
        <v>309</v>
      </c>
      <c r="AQ10" s="35">
        <v>8</v>
      </c>
      <c r="AR10" s="35">
        <v>2853</v>
      </c>
      <c r="AS10" s="220">
        <f t="shared" si="1"/>
        <v>2.8040658955485456E-3</v>
      </c>
      <c r="AU10" s="222" t="s">
        <v>431</v>
      </c>
      <c r="AV10" s="24">
        <v>4</v>
      </c>
      <c r="AW10" s="62">
        <v>917</v>
      </c>
    </row>
    <row r="11" spans="1:49">
      <c r="A11" s="207" t="s">
        <v>23</v>
      </c>
      <c r="B11" s="35">
        <v>7</v>
      </c>
      <c r="C11" s="208">
        <v>3132</v>
      </c>
      <c r="I11" s="207" t="s">
        <v>21</v>
      </c>
      <c r="J11" s="35">
        <v>65</v>
      </c>
      <c r="K11" s="208">
        <v>407</v>
      </c>
      <c r="M11" s="54" t="s">
        <v>18</v>
      </c>
      <c r="N11" s="9">
        <v>1</v>
      </c>
      <c r="O11" s="55">
        <v>27</v>
      </c>
      <c r="Q11" s="54" t="s">
        <v>21</v>
      </c>
      <c r="R11" s="9">
        <v>4</v>
      </c>
      <c r="S11" s="55">
        <v>5</v>
      </c>
      <c r="U11" s="54" t="s">
        <v>18</v>
      </c>
      <c r="V11" s="9">
        <v>2</v>
      </c>
      <c r="W11" s="55">
        <v>6</v>
      </c>
      <c r="Y11" s="213">
        <v>43678</v>
      </c>
      <c r="Z11" s="24">
        <v>2</v>
      </c>
      <c r="AA11" s="62">
        <v>22079</v>
      </c>
      <c r="AB11" s="292"/>
      <c r="AC11" s="61" t="s">
        <v>21</v>
      </c>
      <c r="AD11" s="24">
        <v>84</v>
      </c>
      <c r="AE11" s="208">
        <v>129</v>
      </c>
      <c r="AG11" s="216" t="s">
        <v>21</v>
      </c>
      <c r="AH11" s="206">
        <v>49</v>
      </c>
      <c r="AI11" s="215">
        <v>285</v>
      </c>
      <c r="AK11" s="207" t="s">
        <v>310</v>
      </c>
      <c r="AL11" s="35">
        <v>182</v>
      </c>
      <c r="AM11" s="35">
        <v>2655</v>
      </c>
      <c r="AN11" s="71">
        <f t="shared" si="0"/>
        <v>6.8549905838041436E-2</v>
      </c>
      <c r="AO11" s="23"/>
      <c r="AP11" s="207" t="s">
        <v>310</v>
      </c>
      <c r="AQ11" s="35">
        <v>7</v>
      </c>
      <c r="AR11" s="35">
        <v>2655</v>
      </c>
      <c r="AS11" s="220">
        <f t="shared" si="1"/>
        <v>2.6365348399246705E-3</v>
      </c>
      <c r="AU11" s="222" t="s">
        <v>432</v>
      </c>
      <c r="AV11" s="24">
        <v>6</v>
      </c>
      <c r="AW11" s="62">
        <v>1037</v>
      </c>
    </row>
    <row r="12" spans="1:49">
      <c r="A12" s="207" t="s">
        <v>25</v>
      </c>
      <c r="B12" s="35">
        <v>0</v>
      </c>
      <c r="C12" s="208">
        <v>3394</v>
      </c>
      <c r="I12" s="207" t="s">
        <v>23</v>
      </c>
      <c r="J12" s="35">
        <v>60</v>
      </c>
      <c r="K12" s="208">
        <v>381</v>
      </c>
      <c r="M12" s="54" t="s">
        <v>20</v>
      </c>
      <c r="N12" s="9">
        <v>0</v>
      </c>
      <c r="O12" s="55">
        <v>32</v>
      </c>
      <c r="Q12" s="54" t="s">
        <v>23</v>
      </c>
      <c r="R12" s="9" t="s">
        <v>26</v>
      </c>
      <c r="S12" s="55" t="s">
        <v>26</v>
      </c>
      <c r="U12" s="54" t="s">
        <v>20</v>
      </c>
      <c r="V12" s="9">
        <v>1</v>
      </c>
      <c r="W12" s="55">
        <v>2</v>
      </c>
      <c r="Y12" s="213">
        <v>43709</v>
      </c>
      <c r="Z12" s="24">
        <v>0</v>
      </c>
      <c r="AA12" s="62">
        <v>29206</v>
      </c>
      <c r="AB12" s="292"/>
      <c r="AC12" s="61" t="s">
        <v>23</v>
      </c>
      <c r="AD12" s="24">
        <v>74</v>
      </c>
      <c r="AE12" s="208">
        <v>114</v>
      </c>
      <c r="AG12" s="216" t="s">
        <v>23</v>
      </c>
      <c r="AH12" s="206">
        <v>46</v>
      </c>
      <c r="AI12" s="215">
        <v>269</v>
      </c>
      <c r="AK12" s="207" t="s">
        <v>311</v>
      </c>
      <c r="AL12" s="35">
        <v>180</v>
      </c>
      <c r="AM12" s="35">
        <v>2466</v>
      </c>
      <c r="AN12" s="71">
        <f t="shared" si="0"/>
        <v>7.2992700729927001E-2</v>
      </c>
      <c r="AO12" s="23"/>
      <c r="AP12" s="207" t="s">
        <v>311</v>
      </c>
      <c r="AQ12" s="35">
        <v>6</v>
      </c>
      <c r="AR12" s="35">
        <v>2466</v>
      </c>
      <c r="AS12" s="220">
        <f t="shared" si="1"/>
        <v>2.4330900243309003E-3</v>
      </c>
      <c r="AU12" s="222" t="s">
        <v>433</v>
      </c>
      <c r="AV12" s="24">
        <v>3</v>
      </c>
      <c r="AW12" s="62">
        <v>1078</v>
      </c>
    </row>
    <row r="13" spans="1:49" ht="13.5" thickBot="1">
      <c r="A13" s="207" t="s">
        <v>14</v>
      </c>
      <c r="B13" s="35">
        <v>4</v>
      </c>
      <c r="C13" s="208">
        <v>3415</v>
      </c>
      <c r="I13" s="207" t="s">
        <v>25</v>
      </c>
      <c r="J13" s="35">
        <v>68</v>
      </c>
      <c r="K13" s="208">
        <v>406</v>
      </c>
      <c r="M13" s="54" t="s">
        <v>22</v>
      </c>
      <c r="N13" s="9">
        <v>0</v>
      </c>
      <c r="O13" s="55">
        <v>25</v>
      </c>
      <c r="Q13" s="54" t="s">
        <v>25</v>
      </c>
      <c r="R13" s="9">
        <v>7</v>
      </c>
      <c r="S13" s="55">
        <v>7</v>
      </c>
      <c r="U13" s="54" t="s">
        <v>22</v>
      </c>
      <c r="V13" s="9">
        <v>1</v>
      </c>
      <c r="W13" s="55">
        <v>2</v>
      </c>
      <c r="Y13" s="213">
        <v>43739</v>
      </c>
      <c r="Z13" s="24">
        <v>1</v>
      </c>
      <c r="AA13" s="62">
        <v>23390</v>
      </c>
      <c r="AB13" s="292"/>
      <c r="AC13" s="63" t="s">
        <v>25</v>
      </c>
      <c r="AD13" s="67">
        <v>103</v>
      </c>
      <c r="AE13" s="211">
        <v>137</v>
      </c>
      <c r="AG13" s="216" t="s">
        <v>25</v>
      </c>
      <c r="AH13" s="206">
        <v>51</v>
      </c>
      <c r="AI13" s="215">
        <v>247</v>
      </c>
      <c r="AK13" s="207" t="s">
        <v>312</v>
      </c>
      <c r="AL13" s="35">
        <v>173</v>
      </c>
      <c r="AM13" s="35">
        <v>2577</v>
      </c>
      <c r="AN13" s="71">
        <f t="shared" si="0"/>
        <v>6.7132324408226626E-2</v>
      </c>
      <c r="AO13" s="23"/>
      <c r="AP13" s="207" t="s">
        <v>312</v>
      </c>
      <c r="AQ13" s="35">
        <v>3</v>
      </c>
      <c r="AR13" s="35">
        <v>2577</v>
      </c>
      <c r="AS13" s="220">
        <f t="shared" si="1"/>
        <v>1.1641443538998836E-3</v>
      </c>
      <c r="AU13" s="222" t="s">
        <v>434</v>
      </c>
      <c r="AV13" s="24">
        <v>0</v>
      </c>
      <c r="AW13" s="62">
        <v>1221</v>
      </c>
    </row>
    <row r="14" spans="1:49">
      <c r="A14" s="207" t="s">
        <v>13</v>
      </c>
      <c r="B14" s="35">
        <v>4</v>
      </c>
      <c r="C14" s="208">
        <v>3139</v>
      </c>
      <c r="I14" s="207" t="s">
        <v>14</v>
      </c>
      <c r="J14" s="35">
        <v>62</v>
      </c>
      <c r="K14" s="208">
        <v>374</v>
      </c>
      <c r="M14" s="54" t="s">
        <v>15</v>
      </c>
      <c r="N14" s="9">
        <v>0</v>
      </c>
      <c r="O14" s="55">
        <v>31</v>
      </c>
      <c r="Q14" s="212" t="s">
        <v>1194</v>
      </c>
      <c r="R14" s="9">
        <v>16</v>
      </c>
      <c r="S14" s="55">
        <v>18</v>
      </c>
      <c r="U14" s="54" t="s">
        <v>15</v>
      </c>
      <c r="V14" s="9">
        <v>2</v>
      </c>
      <c r="W14" s="55">
        <v>4</v>
      </c>
      <c r="Y14" s="213">
        <v>43770</v>
      </c>
      <c r="Z14" s="24">
        <v>0</v>
      </c>
      <c r="AA14" s="62">
        <v>26475</v>
      </c>
      <c r="AB14" s="292"/>
      <c r="AG14" s="214">
        <v>42736</v>
      </c>
      <c r="AH14" s="206">
        <v>60</v>
      </c>
      <c r="AI14" s="215">
        <v>285</v>
      </c>
      <c r="AK14" s="207" t="s">
        <v>313</v>
      </c>
      <c r="AL14" s="35">
        <v>168</v>
      </c>
      <c r="AM14" s="35">
        <v>2725</v>
      </c>
      <c r="AN14" s="71">
        <f t="shared" si="0"/>
        <v>6.1651376146788991E-2</v>
      </c>
      <c r="AO14" s="23"/>
      <c r="AP14" s="207" t="s">
        <v>313</v>
      </c>
      <c r="AQ14" s="35">
        <v>9</v>
      </c>
      <c r="AR14" s="35">
        <v>2725</v>
      </c>
      <c r="AS14" s="220">
        <f t="shared" si="1"/>
        <v>3.3027522935779817E-3</v>
      </c>
      <c r="AU14" s="222" t="s">
        <v>435</v>
      </c>
      <c r="AV14" s="24">
        <v>1</v>
      </c>
      <c r="AW14" s="62">
        <v>1255</v>
      </c>
    </row>
    <row r="15" spans="1:49" ht="13.5" thickBot="1">
      <c r="A15" s="207" t="s">
        <v>16</v>
      </c>
      <c r="B15" s="35">
        <v>6</v>
      </c>
      <c r="C15" s="208">
        <v>3381</v>
      </c>
      <c r="I15" s="207" t="s">
        <v>13</v>
      </c>
      <c r="J15" s="35">
        <v>48</v>
      </c>
      <c r="K15" s="208">
        <v>355</v>
      </c>
      <c r="M15" s="54" t="s">
        <v>17</v>
      </c>
      <c r="N15" s="9">
        <v>1</v>
      </c>
      <c r="O15" s="55">
        <v>32</v>
      </c>
      <c r="Q15" s="54" t="s">
        <v>13</v>
      </c>
      <c r="R15" s="9">
        <v>17</v>
      </c>
      <c r="S15" s="55">
        <v>20</v>
      </c>
      <c r="U15" s="54" t="s">
        <v>17</v>
      </c>
      <c r="V15" s="9">
        <v>3</v>
      </c>
      <c r="W15" s="55">
        <v>3</v>
      </c>
      <c r="Y15" s="358">
        <v>43800</v>
      </c>
      <c r="Z15" s="67">
        <v>1</v>
      </c>
      <c r="AA15" s="64">
        <v>23390</v>
      </c>
      <c r="AB15" s="292"/>
      <c r="AG15" s="216" t="s">
        <v>13</v>
      </c>
      <c r="AH15" s="206">
        <v>40</v>
      </c>
      <c r="AI15" s="215">
        <v>258</v>
      </c>
      <c r="AK15" s="207" t="s">
        <v>314</v>
      </c>
      <c r="AL15" s="35">
        <v>146</v>
      </c>
      <c r="AM15" s="35">
        <v>2775</v>
      </c>
      <c r="AN15" s="71">
        <f t="shared" si="0"/>
        <v>5.261261261261261E-2</v>
      </c>
      <c r="AO15" s="23"/>
      <c r="AP15" s="207" t="s">
        <v>314</v>
      </c>
      <c r="AQ15" s="35">
        <v>3</v>
      </c>
      <c r="AR15" s="35">
        <v>2775</v>
      </c>
      <c r="AS15" s="220">
        <f t="shared" si="1"/>
        <v>1.0810810810810811E-3</v>
      </c>
      <c r="AU15" s="222" t="s">
        <v>436</v>
      </c>
      <c r="AV15" s="24">
        <v>0</v>
      </c>
      <c r="AW15" s="62">
        <v>1330</v>
      </c>
    </row>
    <row r="16" spans="1:49">
      <c r="A16" s="207" t="s">
        <v>18</v>
      </c>
      <c r="B16" s="35">
        <v>9</v>
      </c>
      <c r="C16" s="208">
        <v>3172</v>
      </c>
      <c r="I16" s="207" t="s">
        <v>16</v>
      </c>
      <c r="J16" s="35">
        <v>57</v>
      </c>
      <c r="K16" s="208">
        <v>393</v>
      </c>
      <c r="M16" s="54" t="s">
        <v>19</v>
      </c>
      <c r="N16" s="9">
        <v>0</v>
      </c>
      <c r="O16" s="55">
        <v>29</v>
      </c>
      <c r="Q16" s="54" t="s">
        <v>16</v>
      </c>
      <c r="R16" s="9">
        <v>16</v>
      </c>
      <c r="S16" s="55">
        <v>23</v>
      </c>
      <c r="U16" s="54" t="s">
        <v>19</v>
      </c>
      <c r="V16" s="9">
        <v>4</v>
      </c>
      <c r="W16" s="55">
        <v>4</v>
      </c>
      <c r="AG16" s="216" t="s">
        <v>16</v>
      </c>
      <c r="AH16" s="206">
        <v>43</v>
      </c>
      <c r="AI16" s="215">
        <v>280</v>
      </c>
      <c r="AK16" s="207" t="s">
        <v>315</v>
      </c>
      <c r="AL16" s="35">
        <v>123</v>
      </c>
      <c r="AM16" s="35">
        <v>2625</v>
      </c>
      <c r="AN16" s="71">
        <f t="shared" si="0"/>
        <v>4.6857142857142854E-2</v>
      </c>
      <c r="AO16" s="23"/>
      <c r="AP16" s="207" t="s">
        <v>315</v>
      </c>
      <c r="AQ16" s="35">
        <v>4</v>
      </c>
      <c r="AR16" s="35">
        <v>2625</v>
      </c>
      <c r="AS16" s="220">
        <f t="shared" si="1"/>
        <v>1.5238095238095239E-3</v>
      </c>
      <c r="AU16" s="222" t="s">
        <v>437</v>
      </c>
      <c r="AV16" s="24">
        <v>9</v>
      </c>
      <c r="AW16" s="62">
        <v>1609</v>
      </c>
    </row>
    <row r="17" spans="1:49">
      <c r="A17" s="207" t="s">
        <v>20</v>
      </c>
      <c r="B17" s="35">
        <v>13</v>
      </c>
      <c r="C17" s="208">
        <v>3443</v>
      </c>
      <c r="I17" s="207" t="s">
        <v>18</v>
      </c>
      <c r="J17" s="35">
        <v>64</v>
      </c>
      <c r="K17" s="208">
        <v>417</v>
      </c>
      <c r="M17" s="54" t="s">
        <v>21</v>
      </c>
      <c r="N17" s="9">
        <v>0</v>
      </c>
      <c r="O17" s="55">
        <v>30</v>
      </c>
      <c r="Q17" s="54" t="s">
        <v>18</v>
      </c>
      <c r="R17" s="9">
        <v>11</v>
      </c>
      <c r="S17" s="55">
        <v>13</v>
      </c>
      <c r="U17" s="54" t="s">
        <v>21</v>
      </c>
      <c r="V17" s="9">
        <v>2</v>
      </c>
      <c r="W17" s="55">
        <v>4</v>
      </c>
      <c r="AG17" s="216" t="s">
        <v>18</v>
      </c>
      <c r="AH17" s="206">
        <v>44</v>
      </c>
      <c r="AI17" s="215">
        <v>293</v>
      </c>
      <c r="AK17" s="207" t="s">
        <v>316</v>
      </c>
      <c r="AL17" s="35">
        <v>128</v>
      </c>
      <c r="AM17" s="35">
        <v>2376</v>
      </c>
      <c r="AN17" s="71">
        <f t="shared" si="0"/>
        <v>5.387205387205387E-2</v>
      </c>
      <c r="AO17" s="23"/>
      <c r="AP17" s="207" t="s">
        <v>316</v>
      </c>
      <c r="AQ17" s="35">
        <v>2</v>
      </c>
      <c r="AR17" s="35">
        <v>2376</v>
      </c>
      <c r="AS17" s="220">
        <f t="shared" si="1"/>
        <v>8.4175084175084171E-4</v>
      </c>
      <c r="AU17" s="222" t="s">
        <v>438</v>
      </c>
      <c r="AV17" s="24">
        <v>6</v>
      </c>
      <c r="AW17" s="62">
        <v>1901</v>
      </c>
    </row>
    <row r="18" spans="1:49">
      <c r="A18" s="207" t="s">
        <v>22</v>
      </c>
      <c r="B18" s="35">
        <v>15</v>
      </c>
      <c r="C18" s="208">
        <v>3219</v>
      </c>
      <c r="I18" s="207" t="s">
        <v>20</v>
      </c>
      <c r="J18" s="35">
        <v>66</v>
      </c>
      <c r="K18" s="208">
        <v>434</v>
      </c>
      <c r="M18" s="54" t="s">
        <v>23</v>
      </c>
      <c r="N18" s="9">
        <v>0</v>
      </c>
      <c r="O18" s="55">
        <v>32</v>
      </c>
      <c r="Q18" s="54" t="s">
        <v>20</v>
      </c>
      <c r="R18" s="9">
        <v>16</v>
      </c>
      <c r="S18" s="55">
        <v>18</v>
      </c>
      <c r="U18" s="54" t="s">
        <v>23</v>
      </c>
      <c r="V18" s="9">
        <v>1</v>
      </c>
      <c r="W18" s="55">
        <v>1</v>
      </c>
      <c r="AG18" s="216" t="s">
        <v>20</v>
      </c>
      <c r="AH18" s="206">
        <v>57</v>
      </c>
      <c r="AI18" s="215">
        <v>346</v>
      </c>
      <c r="AK18" s="207" t="s">
        <v>317</v>
      </c>
      <c r="AL18" s="35">
        <v>115</v>
      </c>
      <c r="AM18" s="35">
        <v>2281</v>
      </c>
      <c r="AN18" s="71">
        <f t="shared" si="0"/>
        <v>5.0416483998246386E-2</v>
      </c>
      <c r="AO18" s="23"/>
      <c r="AP18" s="207" t="s">
        <v>317</v>
      </c>
      <c r="AQ18" s="35">
        <v>1</v>
      </c>
      <c r="AR18" s="35">
        <v>2281</v>
      </c>
      <c r="AS18" s="220">
        <f t="shared" si="1"/>
        <v>4.3840420868040335E-4</v>
      </c>
      <c r="AU18" s="222" t="s">
        <v>439</v>
      </c>
      <c r="AV18" s="24">
        <v>18</v>
      </c>
      <c r="AW18" s="62">
        <v>2187</v>
      </c>
    </row>
    <row r="19" spans="1:49" ht="13.5" thickBot="1">
      <c r="A19" s="207" t="s">
        <v>24</v>
      </c>
      <c r="B19" s="35">
        <v>6</v>
      </c>
      <c r="C19" s="208">
        <v>3505</v>
      </c>
      <c r="I19" s="207" t="s">
        <v>22</v>
      </c>
      <c r="J19" s="35">
        <v>55</v>
      </c>
      <c r="K19" s="208">
        <v>421</v>
      </c>
      <c r="M19" s="57" t="s">
        <v>25</v>
      </c>
      <c r="N19" s="59">
        <v>0</v>
      </c>
      <c r="O19" s="60">
        <v>28</v>
      </c>
      <c r="Q19" s="54" t="s">
        <v>22</v>
      </c>
      <c r="R19" s="9">
        <v>15</v>
      </c>
      <c r="S19" s="55">
        <v>15</v>
      </c>
      <c r="U19" s="57" t="s">
        <v>25</v>
      </c>
      <c r="V19" s="59">
        <v>2</v>
      </c>
      <c r="W19" s="60">
        <v>3</v>
      </c>
      <c r="AG19" s="216" t="s">
        <v>22</v>
      </c>
      <c r="AH19" s="206">
        <v>38</v>
      </c>
      <c r="AI19" s="215">
        <v>304</v>
      </c>
      <c r="AK19" s="207" t="s">
        <v>318</v>
      </c>
      <c r="AL19" s="35">
        <v>79</v>
      </c>
      <c r="AM19" s="35">
        <v>2157</v>
      </c>
      <c r="AN19" s="71">
        <f t="shared" si="0"/>
        <v>3.662494204914233E-2</v>
      </c>
      <c r="AO19" s="23"/>
      <c r="AP19" s="207" t="s">
        <v>318</v>
      </c>
      <c r="AQ19" s="35">
        <v>2</v>
      </c>
      <c r="AR19" s="35">
        <v>2157</v>
      </c>
      <c r="AS19" s="220">
        <f t="shared" si="1"/>
        <v>9.2721372276309685E-4</v>
      </c>
      <c r="AU19" s="222" t="s">
        <v>440</v>
      </c>
      <c r="AV19" s="24">
        <v>11</v>
      </c>
      <c r="AW19" s="62">
        <v>2401</v>
      </c>
    </row>
    <row r="20" spans="1:49">
      <c r="A20" s="207" t="s">
        <v>17</v>
      </c>
      <c r="B20" s="35">
        <v>10</v>
      </c>
      <c r="C20" s="208">
        <v>3645</v>
      </c>
      <c r="I20" s="207" t="s">
        <v>15</v>
      </c>
      <c r="J20" s="35">
        <v>51</v>
      </c>
      <c r="K20" s="208">
        <v>417</v>
      </c>
      <c r="Q20" s="54" t="s">
        <v>15</v>
      </c>
      <c r="R20" s="9">
        <v>13</v>
      </c>
      <c r="S20" s="55">
        <v>14</v>
      </c>
      <c r="AG20" s="216" t="s">
        <v>15</v>
      </c>
      <c r="AH20" s="206">
        <v>56</v>
      </c>
      <c r="AI20" s="215">
        <v>346</v>
      </c>
      <c r="AK20" s="207" t="s">
        <v>319</v>
      </c>
      <c r="AL20" s="35">
        <v>100</v>
      </c>
      <c r="AM20" s="35">
        <v>2075</v>
      </c>
      <c r="AN20" s="71">
        <f t="shared" si="0"/>
        <v>4.8192771084337352E-2</v>
      </c>
      <c r="AO20" s="23"/>
      <c r="AP20" s="207" t="s">
        <v>319</v>
      </c>
      <c r="AQ20" s="35">
        <v>1</v>
      </c>
      <c r="AR20" s="35">
        <v>2075</v>
      </c>
      <c r="AS20" s="220">
        <f t="shared" si="1"/>
        <v>4.8192771084337347E-4</v>
      </c>
      <c r="AU20" s="222" t="s">
        <v>441</v>
      </c>
      <c r="AV20" s="24">
        <v>1</v>
      </c>
      <c r="AW20" s="62">
        <v>2492</v>
      </c>
    </row>
    <row r="21" spans="1:49">
      <c r="A21" s="207" t="s">
        <v>19</v>
      </c>
      <c r="B21" s="35">
        <v>5</v>
      </c>
      <c r="C21" s="208">
        <v>3308</v>
      </c>
      <c r="I21" s="207" t="s">
        <v>17</v>
      </c>
      <c r="J21" s="35">
        <v>82</v>
      </c>
      <c r="K21" s="208">
        <v>444</v>
      </c>
      <c r="Q21" s="54" t="s">
        <v>17</v>
      </c>
      <c r="R21" s="9">
        <v>13</v>
      </c>
      <c r="S21" s="55">
        <v>15</v>
      </c>
      <c r="AG21" s="216" t="s">
        <v>17</v>
      </c>
      <c r="AH21" s="206">
        <v>47</v>
      </c>
      <c r="AI21" s="215">
        <v>311</v>
      </c>
      <c r="AK21" s="207" t="s">
        <v>320</v>
      </c>
      <c r="AL21" s="35">
        <v>102</v>
      </c>
      <c r="AM21" s="35">
        <v>2153</v>
      </c>
      <c r="AN21" s="71">
        <f t="shared" si="0"/>
        <v>4.7375754760798888E-2</v>
      </c>
      <c r="AO21" s="23"/>
      <c r="AP21" s="207" t="s">
        <v>320</v>
      </c>
      <c r="AQ21" s="35">
        <v>0</v>
      </c>
      <c r="AR21" s="35">
        <v>2153</v>
      </c>
      <c r="AS21" s="220">
        <f t="shared" si="1"/>
        <v>0</v>
      </c>
      <c r="AU21" s="222" t="s">
        <v>442</v>
      </c>
      <c r="AV21" s="24">
        <v>0</v>
      </c>
      <c r="AW21" s="62">
        <v>2518</v>
      </c>
    </row>
    <row r="22" spans="1:49">
      <c r="A22" s="207" t="s">
        <v>21</v>
      </c>
      <c r="B22" s="35">
        <v>14</v>
      </c>
      <c r="C22" s="208">
        <v>3304</v>
      </c>
      <c r="I22" s="207" t="s">
        <v>19</v>
      </c>
      <c r="J22" s="35">
        <v>65</v>
      </c>
      <c r="K22" s="208">
        <v>429</v>
      </c>
      <c r="Q22" s="54" t="s">
        <v>19</v>
      </c>
      <c r="R22" s="9">
        <v>14</v>
      </c>
      <c r="S22" s="55">
        <v>20</v>
      </c>
      <c r="AG22" s="216" t="s">
        <v>296</v>
      </c>
      <c r="AH22" s="206">
        <v>44</v>
      </c>
      <c r="AI22" s="215">
        <v>276</v>
      </c>
      <c r="AK22" s="207" t="s">
        <v>321</v>
      </c>
      <c r="AL22" s="35">
        <v>125</v>
      </c>
      <c r="AM22" s="35">
        <v>2426</v>
      </c>
      <c r="AN22" s="71">
        <f t="shared" si="0"/>
        <v>5.1525144270403958E-2</v>
      </c>
      <c r="AO22" s="23"/>
      <c r="AP22" s="207" t="s">
        <v>321</v>
      </c>
      <c r="AQ22" s="35">
        <v>1</v>
      </c>
      <c r="AR22" s="35">
        <v>2426</v>
      </c>
      <c r="AS22" s="220">
        <f t="shared" si="1"/>
        <v>4.1220115416323167E-4</v>
      </c>
      <c r="AU22" s="222" t="s">
        <v>443</v>
      </c>
      <c r="AV22" s="24">
        <v>8</v>
      </c>
      <c r="AW22" s="62">
        <v>2735</v>
      </c>
    </row>
    <row r="23" spans="1:49">
      <c r="A23" s="207" t="s">
        <v>23</v>
      </c>
      <c r="B23" s="35">
        <v>10</v>
      </c>
      <c r="C23" s="208">
        <v>3019</v>
      </c>
      <c r="I23" s="207" t="s">
        <v>21</v>
      </c>
      <c r="J23" s="35">
        <v>69</v>
      </c>
      <c r="K23" s="208">
        <v>411</v>
      </c>
      <c r="Q23" s="54" t="s">
        <v>21</v>
      </c>
      <c r="R23" s="9">
        <v>8</v>
      </c>
      <c r="S23" s="55">
        <v>11</v>
      </c>
      <c r="AG23" s="216" t="s">
        <v>21</v>
      </c>
      <c r="AH23" s="206">
        <v>46</v>
      </c>
      <c r="AI23" s="215">
        <v>283</v>
      </c>
      <c r="AK23" s="207" t="s">
        <v>322</v>
      </c>
      <c r="AL23" s="35">
        <v>104</v>
      </c>
      <c r="AM23" s="35">
        <v>2310</v>
      </c>
      <c r="AN23" s="71">
        <f t="shared" si="0"/>
        <v>4.5021645021645025E-2</v>
      </c>
      <c r="AO23" s="23"/>
      <c r="AP23" s="207" t="s">
        <v>322</v>
      </c>
      <c r="AQ23" s="35">
        <v>0</v>
      </c>
      <c r="AR23" s="35">
        <v>2310</v>
      </c>
      <c r="AS23" s="220">
        <f t="shared" si="1"/>
        <v>0</v>
      </c>
      <c r="AU23" s="222" t="s">
        <v>444</v>
      </c>
      <c r="AV23" s="24">
        <v>10</v>
      </c>
      <c r="AW23" s="62">
        <v>2861</v>
      </c>
    </row>
    <row r="24" spans="1:49" ht="13.5" thickBot="1">
      <c r="A24" s="207" t="s">
        <v>25</v>
      </c>
      <c r="B24" s="35">
        <v>10</v>
      </c>
      <c r="C24" s="208">
        <v>2822</v>
      </c>
      <c r="I24" s="207" t="s">
        <v>23</v>
      </c>
      <c r="J24" s="35">
        <v>62</v>
      </c>
      <c r="K24" s="208">
        <v>386</v>
      </c>
      <c r="Q24" s="54" t="s">
        <v>23</v>
      </c>
      <c r="R24" s="9">
        <v>13</v>
      </c>
      <c r="S24" s="55">
        <v>16</v>
      </c>
      <c r="AG24" s="216" t="s">
        <v>23</v>
      </c>
      <c r="AH24" s="206">
        <v>44</v>
      </c>
      <c r="AI24" s="215">
        <v>267</v>
      </c>
      <c r="AK24" s="207" t="s">
        <v>323</v>
      </c>
      <c r="AL24" s="35">
        <v>103</v>
      </c>
      <c r="AM24" s="35">
        <v>2251</v>
      </c>
      <c r="AN24" s="71">
        <f t="shared" si="0"/>
        <v>4.5757441137272321E-2</v>
      </c>
      <c r="AO24" s="23"/>
      <c r="AP24" s="207" t="s">
        <v>323</v>
      </c>
      <c r="AQ24" s="35">
        <v>0</v>
      </c>
      <c r="AR24" s="35">
        <v>2251</v>
      </c>
      <c r="AS24" s="220">
        <f t="shared" si="1"/>
        <v>0</v>
      </c>
      <c r="AU24" s="223" t="s">
        <v>445</v>
      </c>
      <c r="AV24" s="67">
        <v>7</v>
      </c>
      <c r="AW24" s="64">
        <v>3186</v>
      </c>
    </row>
    <row r="25" spans="1:49" ht="13.5" thickBot="1">
      <c r="A25" s="207" t="s">
        <v>14</v>
      </c>
      <c r="B25" s="35">
        <v>9</v>
      </c>
      <c r="C25" s="208">
        <v>3360</v>
      </c>
      <c r="I25" s="207" t="s">
        <v>25</v>
      </c>
      <c r="J25" s="35">
        <v>66</v>
      </c>
      <c r="K25" s="208">
        <v>357</v>
      </c>
      <c r="Q25" s="57" t="s">
        <v>25</v>
      </c>
      <c r="R25" s="59">
        <v>11</v>
      </c>
      <c r="S25" s="60">
        <v>11</v>
      </c>
      <c r="AG25" s="216" t="s">
        <v>25</v>
      </c>
      <c r="AH25" s="206">
        <v>39</v>
      </c>
      <c r="AI25" s="215">
        <v>265</v>
      </c>
      <c r="AK25" s="207" t="s">
        <v>324</v>
      </c>
      <c r="AL25" s="35">
        <v>94</v>
      </c>
      <c r="AM25" s="35">
        <v>2272</v>
      </c>
      <c r="AN25" s="71">
        <f t="shared" si="0"/>
        <v>4.1373239436619719E-2</v>
      </c>
      <c r="AO25" s="23"/>
      <c r="AP25" s="207" t="s">
        <v>324</v>
      </c>
      <c r="AQ25" s="35">
        <v>1</v>
      </c>
      <c r="AR25" s="35">
        <v>2272</v>
      </c>
      <c r="AS25" s="220">
        <f t="shared" si="1"/>
        <v>4.4014084507042255E-4</v>
      </c>
    </row>
    <row r="26" spans="1:49">
      <c r="A26" s="207" t="s">
        <v>13</v>
      </c>
      <c r="B26" s="35">
        <v>12</v>
      </c>
      <c r="C26" s="208">
        <v>2997</v>
      </c>
      <c r="I26" s="207" t="s">
        <v>14</v>
      </c>
      <c r="J26" s="35">
        <v>59</v>
      </c>
      <c r="K26" s="208">
        <v>373</v>
      </c>
      <c r="AG26" s="214">
        <v>43101</v>
      </c>
      <c r="AH26" s="206">
        <v>50</v>
      </c>
      <c r="AI26" s="215">
        <v>292</v>
      </c>
      <c r="AK26" s="207" t="s">
        <v>383</v>
      </c>
      <c r="AL26" s="35">
        <v>106</v>
      </c>
      <c r="AM26" s="35">
        <v>2573</v>
      </c>
      <c r="AN26" s="71">
        <f t="shared" si="0"/>
        <v>4.1197046249514188E-2</v>
      </c>
      <c r="AO26" s="23"/>
      <c r="AP26" s="207" t="s">
        <v>383</v>
      </c>
      <c r="AQ26" s="35">
        <v>2</v>
      </c>
      <c r="AR26" s="35">
        <v>2573</v>
      </c>
      <c r="AS26" s="220">
        <f t="shared" si="1"/>
        <v>7.7730275942479595E-4</v>
      </c>
    </row>
    <row r="27" spans="1:49">
      <c r="A27" s="207" t="s">
        <v>16</v>
      </c>
      <c r="B27" s="35">
        <v>9</v>
      </c>
      <c r="C27" s="208">
        <v>3175</v>
      </c>
      <c r="I27" s="207" t="s">
        <v>13</v>
      </c>
      <c r="J27" s="35">
        <v>47</v>
      </c>
      <c r="K27" s="208">
        <v>370</v>
      </c>
      <c r="AG27" s="216" t="s">
        <v>13</v>
      </c>
      <c r="AH27" s="206">
        <v>46</v>
      </c>
      <c r="AI27" s="215">
        <v>373</v>
      </c>
      <c r="AK27" s="207" t="s">
        <v>384</v>
      </c>
      <c r="AL27" s="35">
        <v>87</v>
      </c>
      <c r="AM27" s="35">
        <v>2468</v>
      </c>
      <c r="AN27" s="71">
        <f t="shared" si="0"/>
        <v>3.5251215559157209E-2</v>
      </c>
      <c r="AO27" s="23"/>
      <c r="AP27" s="207" t="s">
        <v>384</v>
      </c>
      <c r="AQ27" s="35">
        <v>0</v>
      </c>
      <c r="AR27" s="35">
        <v>2468</v>
      </c>
      <c r="AS27" s="220">
        <f t="shared" si="1"/>
        <v>0</v>
      </c>
    </row>
    <row r="28" spans="1:49" ht="13.5" thickBot="1">
      <c r="A28" s="207" t="s">
        <v>18</v>
      </c>
      <c r="B28" s="35">
        <v>16</v>
      </c>
      <c r="C28" s="208">
        <v>3120</v>
      </c>
      <c r="I28" s="209" t="s">
        <v>16</v>
      </c>
      <c r="J28" s="210">
        <v>59</v>
      </c>
      <c r="K28" s="211">
        <v>415</v>
      </c>
      <c r="AG28" s="216" t="s">
        <v>16</v>
      </c>
      <c r="AH28" s="206">
        <v>45</v>
      </c>
      <c r="AI28" s="215">
        <v>269</v>
      </c>
      <c r="AK28" s="207" t="s">
        <v>385</v>
      </c>
      <c r="AL28" s="35">
        <v>88</v>
      </c>
      <c r="AM28" s="35">
        <v>2389</v>
      </c>
      <c r="AN28" s="71">
        <f t="shared" si="0"/>
        <v>3.6835496023440772E-2</v>
      </c>
      <c r="AO28" s="23"/>
      <c r="AP28" s="207" t="s">
        <v>385</v>
      </c>
      <c r="AQ28" s="35">
        <v>0</v>
      </c>
      <c r="AR28" s="35">
        <v>2389</v>
      </c>
      <c r="AS28" s="220">
        <f t="shared" si="1"/>
        <v>0</v>
      </c>
    </row>
    <row r="29" spans="1:49">
      <c r="A29" s="207" t="s">
        <v>20</v>
      </c>
      <c r="B29" s="35">
        <v>12</v>
      </c>
      <c r="C29" s="208">
        <v>3227</v>
      </c>
      <c r="I29" s="1"/>
      <c r="AG29" s="216" t="s">
        <v>18</v>
      </c>
      <c r="AH29" s="206">
        <v>48</v>
      </c>
      <c r="AI29" s="215">
        <v>285</v>
      </c>
      <c r="AK29" s="207" t="s">
        <v>386</v>
      </c>
      <c r="AL29" s="35">
        <v>94</v>
      </c>
      <c r="AM29" s="35">
        <v>2454</v>
      </c>
      <c r="AN29" s="71">
        <f t="shared" si="0"/>
        <v>3.8304808475957623E-2</v>
      </c>
      <c r="AO29" s="23"/>
      <c r="AP29" s="207" t="s">
        <v>386</v>
      </c>
      <c r="AQ29" s="35">
        <v>0</v>
      </c>
      <c r="AR29" s="35">
        <v>2454</v>
      </c>
      <c r="AS29" s="220">
        <f t="shared" si="1"/>
        <v>0</v>
      </c>
    </row>
    <row r="30" spans="1:49">
      <c r="A30" s="207" t="s">
        <v>22</v>
      </c>
      <c r="B30" s="35">
        <v>14</v>
      </c>
      <c r="C30" s="208">
        <v>3229</v>
      </c>
      <c r="I30" s="1"/>
      <c r="AG30" s="216" t="s">
        <v>20</v>
      </c>
      <c r="AH30" s="206">
        <v>39</v>
      </c>
      <c r="AI30" s="215">
        <v>300</v>
      </c>
      <c r="AK30" s="207" t="s">
        <v>387</v>
      </c>
      <c r="AL30" s="35">
        <v>110</v>
      </c>
      <c r="AM30" s="35">
        <v>2717</v>
      </c>
      <c r="AN30" s="71">
        <f t="shared" si="0"/>
        <v>4.048582995951417E-2</v>
      </c>
      <c r="AO30" s="23"/>
      <c r="AP30" s="207" t="s">
        <v>387</v>
      </c>
      <c r="AQ30" s="35">
        <v>0</v>
      </c>
      <c r="AR30" s="35">
        <v>2717</v>
      </c>
      <c r="AS30" s="220">
        <f t="shared" si="1"/>
        <v>0</v>
      </c>
    </row>
    <row r="31" spans="1:49" ht="13.5" thickBot="1">
      <c r="A31" s="207" t="s">
        <v>24</v>
      </c>
      <c r="B31" s="35">
        <v>19</v>
      </c>
      <c r="C31" s="208">
        <v>3381</v>
      </c>
      <c r="I31" s="1"/>
      <c r="AG31" s="216" t="s">
        <v>22</v>
      </c>
      <c r="AH31" s="206">
        <v>50</v>
      </c>
      <c r="AI31" s="215">
        <v>289</v>
      </c>
      <c r="AK31" s="209" t="s">
        <v>388</v>
      </c>
      <c r="AL31" s="210">
        <v>137</v>
      </c>
      <c r="AM31" s="210">
        <v>2477</v>
      </c>
      <c r="AN31" s="72">
        <f t="shared" si="0"/>
        <v>5.5308841340331046E-2</v>
      </c>
      <c r="AO31" s="23"/>
      <c r="AP31" s="209" t="s">
        <v>388</v>
      </c>
      <c r="AQ31" s="210">
        <v>0</v>
      </c>
      <c r="AR31" s="210">
        <v>2477</v>
      </c>
      <c r="AS31" s="221">
        <f t="shared" si="1"/>
        <v>0</v>
      </c>
    </row>
    <row r="32" spans="1:49">
      <c r="A32" s="207" t="s">
        <v>17</v>
      </c>
      <c r="B32" s="35">
        <v>12</v>
      </c>
      <c r="C32" s="208">
        <v>3331</v>
      </c>
      <c r="I32" s="1"/>
      <c r="AG32" s="216" t="s">
        <v>15</v>
      </c>
      <c r="AH32" s="206">
        <v>31</v>
      </c>
      <c r="AI32" s="215">
        <v>282</v>
      </c>
      <c r="AO32" s="23"/>
    </row>
    <row r="33" spans="1:35">
      <c r="A33" s="207" t="s">
        <v>19</v>
      </c>
      <c r="B33" s="35">
        <v>14</v>
      </c>
      <c r="C33" s="208">
        <v>3233</v>
      </c>
      <c r="I33" s="1"/>
      <c r="AG33" s="216" t="s">
        <v>17</v>
      </c>
      <c r="AH33" s="206">
        <v>47</v>
      </c>
      <c r="AI33" s="215">
        <v>275</v>
      </c>
    </row>
    <row r="34" spans="1:35" ht="13.5" thickBot="1">
      <c r="A34" s="209" t="s">
        <v>21</v>
      </c>
      <c r="B34" s="210">
        <v>12</v>
      </c>
      <c r="C34" s="211">
        <v>3180</v>
      </c>
      <c r="I34" s="1"/>
      <c r="AG34" s="216" t="s">
        <v>296</v>
      </c>
      <c r="AH34" s="206">
        <v>42</v>
      </c>
      <c r="AI34" s="215">
        <v>299</v>
      </c>
    </row>
    <row r="35" spans="1:35">
      <c r="I35" s="1"/>
      <c r="AG35" s="216" t="s">
        <v>21</v>
      </c>
      <c r="AH35" s="206">
        <v>49</v>
      </c>
      <c r="AI35" s="215">
        <v>286</v>
      </c>
    </row>
    <row r="36" spans="1:35">
      <c r="I36" s="1"/>
      <c r="AG36" s="216" t="s">
        <v>23</v>
      </c>
      <c r="AH36" s="206">
        <v>38</v>
      </c>
      <c r="AI36" s="215">
        <v>244</v>
      </c>
    </row>
    <row r="37" spans="1:35">
      <c r="I37" s="1"/>
      <c r="AG37" s="216" t="s">
        <v>25</v>
      </c>
      <c r="AH37" s="206">
        <v>39</v>
      </c>
      <c r="AI37" s="215">
        <v>249</v>
      </c>
    </row>
    <row r="38" spans="1:35">
      <c r="AG38" s="214">
        <v>43466</v>
      </c>
      <c r="AH38" s="206">
        <v>38</v>
      </c>
      <c r="AI38" s="215">
        <v>237</v>
      </c>
    </row>
    <row r="39" spans="1:35">
      <c r="AG39" s="216" t="s">
        <v>13</v>
      </c>
      <c r="AH39" s="206">
        <v>32</v>
      </c>
      <c r="AI39" s="215">
        <v>224</v>
      </c>
    </row>
    <row r="40" spans="1:35">
      <c r="AG40" s="216" t="s">
        <v>16</v>
      </c>
      <c r="AH40" s="206">
        <v>37</v>
      </c>
      <c r="AI40" s="215">
        <v>260</v>
      </c>
    </row>
    <row r="41" spans="1:35">
      <c r="AG41" s="216" t="s">
        <v>18</v>
      </c>
      <c r="AH41" s="206">
        <v>40</v>
      </c>
      <c r="AI41" s="215">
        <v>277</v>
      </c>
    </row>
    <row r="42" spans="1:35">
      <c r="AG42" s="216" t="s">
        <v>20</v>
      </c>
      <c r="AH42" s="206">
        <v>41</v>
      </c>
      <c r="AI42" s="215">
        <v>296</v>
      </c>
    </row>
    <row r="43" spans="1:35">
      <c r="AG43" s="216" t="s">
        <v>22</v>
      </c>
      <c r="AH43" s="206">
        <v>40</v>
      </c>
      <c r="AI43" s="215">
        <v>272</v>
      </c>
    </row>
    <row r="44" spans="1:35">
      <c r="AG44" s="216" t="s">
        <v>15</v>
      </c>
      <c r="AH44" s="206">
        <v>42</v>
      </c>
      <c r="AI44" s="215">
        <v>267</v>
      </c>
    </row>
    <row r="45" spans="1:35">
      <c r="AG45" s="216" t="s">
        <v>17</v>
      </c>
      <c r="AH45" s="206">
        <v>34</v>
      </c>
      <c r="AI45" s="215">
        <v>288</v>
      </c>
    </row>
    <row r="46" spans="1:35">
      <c r="AG46" s="216" t="s">
        <v>296</v>
      </c>
      <c r="AH46" s="206">
        <v>42</v>
      </c>
      <c r="AI46" s="215">
        <v>241</v>
      </c>
    </row>
    <row r="47" spans="1:35">
      <c r="AG47" s="216" t="s">
        <v>21</v>
      </c>
      <c r="AH47" s="206">
        <v>37</v>
      </c>
      <c r="AI47" s="215">
        <v>268</v>
      </c>
    </row>
    <row r="48" spans="1:35">
      <c r="AG48" s="216" t="s">
        <v>23</v>
      </c>
      <c r="AH48" s="206">
        <v>32</v>
      </c>
      <c r="AI48" s="215">
        <v>232</v>
      </c>
    </row>
    <row r="49" spans="33:35" ht="13.5" thickBot="1">
      <c r="AG49" s="217" t="s">
        <v>25</v>
      </c>
      <c r="AH49" s="218">
        <v>40</v>
      </c>
      <c r="AI49" s="219">
        <v>231</v>
      </c>
    </row>
  </sheetData>
  <pageMargins left="0.75" right="0.75" top="1" bottom="1" header="0.5" footer="0.5"/>
  <headerFooter alignWithMargins="0">
    <oddHeader>&amp;A</oddHeader>
    <oddFooter>Page &amp;P</oddFooter>
  </headerFooter>
  <ignoredErrors>
    <ignoredError sqref="AU2 AU3:AU14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"/>
  <dimension ref="A1:F30"/>
  <sheetViews>
    <sheetView showGridLines="0" workbookViewId="0">
      <selection activeCell="D30" sqref="A1:D30"/>
    </sheetView>
  </sheetViews>
  <sheetFormatPr defaultRowHeight="12.75"/>
  <cols>
    <col min="1" max="1" width="11.83203125" style="3" bestFit="1" customWidth="1"/>
    <col min="2" max="2" width="9.1640625" style="3" customWidth="1"/>
    <col min="3" max="3" width="8.83203125" style="1" customWidth="1"/>
    <col min="4" max="4" width="9.1640625" style="3" customWidth="1"/>
    <col min="5" max="5" width="9.33203125" style="3"/>
    <col min="6" max="6" width="15" style="3" bestFit="1" customWidth="1"/>
    <col min="7" max="16384" width="9.33203125" style="3"/>
  </cols>
  <sheetData>
    <row r="1" spans="1:6" s="2" customFormat="1" ht="39" thickBot="1">
      <c r="A1" s="97" t="s">
        <v>4</v>
      </c>
      <c r="B1" s="248" t="s">
        <v>27</v>
      </c>
      <c r="C1" s="99" t="s">
        <v>1137</v>
      </c>
      <c r="D1" s="249" t="s">
        <v>28</v>
      </c>
    </row>
    <row r="2" spans="1:6">
      <c r="A2" s="320">
        <v>43098</v>
      </c>
      <c r="B2" s="246">
        <v>17</v>
      </c>
      <c r="C2" s="82">
        <f t="shared" ref="C2:C30" si="0">D2/1000</f>
        <v>4.6580000000000004</v>
      </c>
      <c r="D2" s="247">
        <v>4658</v>
      </c>
      <c r="F2" s="292"/>
    </row>
    <row r="3" spans="1:6">
      <c r="A3" s="320">
        <v>43129</v>
      </c>
      <c r="B3" s="241">
        <v>22</v>
      </c>
      <c r="C3" s="40">
        <f t="shared" si="0"/>
        <v>4.9089999999999998</v>
      </c>
      <c r="D3" s="243">
        <v>4909</v>
      </c>
      <c r="F3" s="292"/>
    </row>
    <row r="4" spans="1:6">
      <c r="A4" s="320">
        <v>43158</v>
      </c>
      <c r="B4" s="241">
        <v>23</v>
      </c>
      <c r="C4" s="40">
        <f t="shared" si="0"/>
        <v>4.8860000000000001</v>
      </c>
      <c r="D4" s="243">
        <v>4886</v>
      </c>
      <c r="F4" s="292"/>
    </row>
    <row r="5" spans="1:6">
      <c r="A5" s="320">
        <v>43189</v>
      </c>
      <c r="B5" s="241">
        <v>30</v>
      </c>
      <c r="C5" s="40">
        <f t="shared" si="0"/>
        <v>4.97</v>
      </c>
      <c r="D5" s="243">
        <v>4970</v>
      </c>
      <c r="F5" s="292"/>
    </row>
    <row r="6" spans="1:6">
      <c r="A6" s="320">
        <v>43219</v>
      </c>
      <c r="B6" s="241">
        <v>22</v>
      </c>
      <c r="C6" s="40">
        <f t="shared" si="0"/>
        <v>4.78</v>
      </c>
      <c r="D6" s="243">
        <v>4780</v>
      </c>
      <c r="F6" s="292"/>
    </row>
    <row r="7" spans="1:6">
      <c r="A7" s="320">
        <v>43250</v>
      </c>
      <c r="B7" s="241">
        <v>18</v>
      </c>
      <c r="C7" s="40">
        <f t="shared" si="0"/>
        <v>4.9729999999999999</v>
      </c>
      <c r="D7" s="243">
        <v>4973</v>
      </c>
      <c r="F7" s="292"/>
    </row>
    <row r="8" spans="1:6">
      <c r="A8" s="320">
        <v>43280</v>
      </c>
      <c r="B8" s="242">
        <v>44</v>
      </c>
      <c r="C8" s="40">
        <f t="shared" si="0"/>
        <v>5.7619999999999996</v>
      </c>
      <c r="D8" s="243">
        <v>5762</v>
      </c>
      <c r="F8" s="292"/>
    </row>
    <row r="9" spans="1:6">
      <c r="A9" s="320">
        <v>43311</v>
      </c>
      <c r="B9" s="241">
        <v>42</v>
      </c>
      <c r="C9" s="40">
        <f t="shared" si="0"/>
        <v>5.4409999999999998</v>
      </c>
      <c r="D9" s="243">
        <v>5441</v>
      </c>
      <c r="F9" s="292"/>
    </row>
    <row r="10" spans="1:6">
      <c r="A10" s="320">
        <v>43342</v>
      </c>
      <c r="B10" s="241">
        <v>33</v>
      </c>
      <c r="C10" s="40">
        <f t="shared" si="0"/>
        <v>5.8929999999999998</v>
      </c>
      <c r="D10" s="243">
        <v>5893</v>
      </c>
      <c r="F10" s="292"/>
    </row>
    <row r="11" spans="1:6">
      <c r="A11" s="320">
        <v>43372</v>
      </c>
      <c r="B11" s="242">
        <v>33</v>
      </c>
      <c r="C11" s="40">
        <f t="shared" si="0"/>
        <v>5.7430000000000003</v>
      </c>
      <c r="D11" s="243">
        <v>5743</v>
      </c>
      <c r="F11" s="292"/>
    </row>
    <row r="12" spans="1:6">
      <c r="A12" s="320">
        <v>43403</v>
      </c>
      <c r="B12" s="241">
        <v>33</v>
      </c>
      <c r="C12" s="40">
        <f t="shared" si="0"/>
        <v>4.7469999999999999</v>
      </c>
      <c r="D12" s="243">
        <v>4747</v>
      </c>
      <c r="F12" s="292"/>
    </row>
    <row r="13" spans="1:6">
      <c r="A13" s="320">
        <v>43433</v>
      </c>
      <c r="B13" s="241">
        <v>27</v>
      </c>
      <c r="C13" s="40">
        <f t="shared" si="0"/>
        <v>5.1180000000000003</v>
      </c>
      <c r="D13" s="243">
        <v>5118</v>
      </c>
      <c r="F13" s="292"/>
    </row>
    <row r="14" spans="1:6">
      <c r="A14" s="320">
        <v>43464</v>
      </c>
      <c r="B14" s="242">
        <v>42</v>
      </c>
      <c r="C14" s="40">
        <f t="shared" si="0"/>
        <v>5.609</v>
      </c>
      <c r="D14" s="243">
        <v>5609</v>
      </c>
      <c r="F14" s="292"/>
    </row>
    <row r="15" spans="1:6">
      <c r="A15" s="320">
        <v>43495</v>
      </c>
      <c r="B15" s="241">
        <v>41</v>
      </c>
      <c r="C15" s="40">
        <f t="shared" si="0"/>
        <v>5.7220000000000004</v>
      </c>
      <c r="D15" s="243">
        <v>5722</v>
      </c>
      <c r="F15" s="292"/>
    </row>
    <row r="16" spans="1:6">
      <c r="A16" s="320">
        <v>43523</v>
      </c>
      <c r="B16" s="241">
        <v>24</v>
      </c>
      <c r="C16" s="40">
        <f t="shared" si="0"/>
        <v>5.2610000000000001</v>
      </c>
      <c r="D16" s="243">
        <v>5261</v>
      </c>
      <c r="F16" s="292"/>
    </row>
    <row r="17" spans="1:6">
      <c r="A17" s="320">
        <v>43555</v>
      </c>
      <c r="B17" s="241">
        <v>22</v>
      </c>
      <c r="C17" s="40">
        <f t="shared" si="0"/>
        <v>6.0709999999999997</v>
      </c>
      <c r="D17" s="243">
        <v>6071</v>
      </c>
      <c r="F17" s="292"/>
    </row>
    <row r="18" spans="1:6">
      <c r="A18" s="320">
        <v>43585</v>
      </c>
      <c r="B18" s="241">
        <v>50</v>
      </c>
      <c r="C18" s="40">
        <f t="shared" si="0"/>
        <v>6.0720000000000001</v>
      </c>
      <c r="D18" s="243">
        <v>6072</v>
      </c>
      <c r="F18" s="292"/>
    </row>
    <row r="19" spans="1:6">
      <c r="A19" s="320">
        <v>43616</v>
      </c>
      <c r="B19" s="241">
        <v>51</v>
      </c>
      <c r="C19" s="40">
        <f t="shared" si="0"/>
        <v>5.335</v>
      </c>
      <c r="D19" s="243">
        <v>5335</v>
      </c>
      <c r="F19" s="292"/>
    </row>
    <row r="20" spans="1:6">
      <c r="A20" s="320">
        <v>43646</v>
      </c>
      <c r="B20" s="241">
        <v>39</v>
      </c>
      <c r="C20" s="40">
        <f t="shared" si="0"/>
        <v>6.4829999999999997</v>
      </c>
      <c r="D20" s="243">
        <v>6483</v>
      </c>
      <c r="F20" s="292"/>
    </row>
    <row r="21" spans="1:6">
      <c r="A21" s="320">
        <v>43677</v>
      </c>
      <c r="B21" s="241">
        <v>22</v>
      </c>
      <c r="C21" s="40">
        <f t="shared" si="0"/>
        <v>5.7519999999999998</v>
      </c>
      <c r="D21" s="243">
        <v>5752</v>
      </c>
      <c r="F21" s="292"/>
    </row>
    <row r="22" spans="1:6">
      <c r="A22" s="320">
        <v>43708</v>
      </c>
      <c r="B22" s="241">
        <v>31</v>
      </c>
      <c r="C22" s="40">
        <f t="shared" si="0"/>
        <v>5.7309999999999999</v>
      </c>
      <c r="D22" s="243">
        <v>5731</v>
      </c>
      <c r="F22" s="292"/>
    </row>
    <row r="23" spans="1:6">
      <c r="A23" s="320">
        <v>43738</v>
      </c>
      <c r="B23" s="241">
        <v>33</v>
      </c>
      <c r="C23" s="40">
        <f t="shared" si="0"/>
        <v>5.0170000000000003</v>
      </c>
      <c r="D23" s="243">
        <v>5017</v>
      </c>
      <c r="F23" s="292"/>
    </row>
    <row r="24" spans="1:6">
      <c r="A24" s="320">
        <v>43769</v>
      </c>
      <c r="B24" s="241">
        <v>25</v>
      </c>
      <c r="C24" s="40">
        <f t="shared" si="0"/>
        <v>5.1580000000000004</v>
      </c>
      <c r="D24" s="243">
        <v>5158</v>
      </c>
      <c r="F24" s="292"/>
    </row>
    <row r="25" spans="1:6">
      <c r="A25" s="320">
        <v>43799</v>
      </c>
      <c r="B25" s="241">
        <v>22</v>
      </c>
      <c r="C25" s="40">
        <f t="shared" si="0"/>
        <v>5.04</v>
      </c>
      <c r="D25" s="243">
        <v>5040</v>
      </c>
      <c r="F25" s="292"/>
    </row>
    <row r="26" spans="1:6">
      <c r="A26" s="320">
        <v>43830</v>
      </c>
      <c r="B26" s="241">
        <v>22</v>
      </c>
      <c r="C26" s="40">
        <f t="shared" si="0"/>
        <v>5.0949999999999998</v>
      </c>
      <c r="D26" s="243">
        <v>5095</v>
      </c>
      <c r="F26" s="292"/>
    </row>
    <row r="27" spans="1:6">
      <c r="A27" s="320">
        <v>43861</v>
      </c>
      <c r="B27" s="241">
        <v>22</v>
      </c>
      <c r="C27" s="40">
        <f t="shared" si="0"/>
        <v>5.5860000000000003</v>
      </c>
      <c r="D27" s="243">
        <v>5586</v>
      </c>
      <c r="F27" s="292"/>
    </row>
    <row r="28" spans="1:6">
      <c r="A28" s="320">
        <v>43889</v>
      </c>
      <c r="B28" s="241">
        <v>20</v>
      </c>
      <c r="C28" s="40">
        <f t="shared" si="0"/>
        <v>5.0860000000000003</v>
      </c>
      <c r="D28" s="243">
        <v>5086</v>
      </c>
      <c r="F28" s="292"/>
    </row>
    <row r="29" spans="1:6">
      <c r="A29" s="320">
        <v>43919</v>
      </c>
      <c r="B29" s="241">
        <v>23</v>
      </c>
      <c r="C29" s="40">
        <f t="shared" si="0"/>
        <v>5.1479999999999997</v>
      </c>
      <c r="D29" s="243">
        <v>5148</v>
      </c>
      <c r="F29" s="292"/>
    </row>
    <row r="30" spans="1:6" ht="13.5" thickBot="1">
      <c r="A30" s="321">
        <v>43949</v>
      </c>
      <c r="B30" s="244">
        <v>19</v>
      </c>
      <c r="C30" s="50">
        <f t="shared" si="0"/>
        <v>4.7539999999999996</v>
      </c>
      <c r="D30" s="245">
        <v>4754</v>
      </c>
      <c r="F30" s="292"/>
    </row>
  </sheetData>
  <pageMargins left="0.75" right="0.75" top="1" bottom="1" header="0.5" footer="0.5"/>
  <pageSetup orientation="portrait" horizontalDpi="216" verticalDpi="216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"/>
  <dimension ref="A1:S102"/>
  <sheetViews>
    <sheetView showGridLines="0" workbookViewId="0">
      <pane ySplit="1" topLeftCell="A2" activePane="bottomLeft" state="frozen"/>
      <selection pane="bottomLeft" sqref="A1:B72"/>
    </sheetView>
  </sheetViews>
  <sheetFormatPr defaultRowHeight="12.75"/>
  <cols>
    <col min="1" max="1" width="13" style="23" customWidth="1"/>
    <col min="2" max="2" width="13.33203125" style="23" customWidth="1"/>
    <col min="3" max="3" width="6.5" style="23" customWidth="1"/>
    <col min="4" max="4" width="37.5" style="23" bestFit="1" customWidth="1"/>
    <col min="5" max="5" width="9.5" style="23" bestFit="1" customWidth="1"/>
    <col min="6" max="6" width="11.5" style="23" customWidth="1"/>
    <col min="7" max="7" width="6.6640625" style="23" customWidth="1"/>
    <col min="8" max="8" width="10.6640625" style="23" bestFit="1" customWidth="1"/>
    <col min="9" max="9" width="18.83203125" style="23" customWidth="1"/>
    <col min="10" max="10" width="5.1640625" style="23" customWidth="1"/>
    <col min="11" max="11" width="11.83203125" style="23" bestFit="1" customWidth="1"/>
    <col min="12" max="12" width="16.1640625" style="23" customWidth="1"/>
    <col min="13" max="13" width="4.6640625" style="23" customWidth="1"/>
    <col min="14" max="14" width="11.83203125" style="23" bestFit="1" customWidth="1"/>
    <col min="15" max="15" width="14.83203125" style="23" customWidth="1"/>
    <col min="16" max="16" width="4.5" style="23" customWidth="1"/>
    <col min="17" max="17" width="19.83203125" style="23" customWidth="1"/>
    <col min="18" max="18" width="9.33203125" style="23"/>
    <col min="19" max="19" width="11.83203125" style="23" bestFit="1" customWidth="1"/>
    <col min="20" max="16384" width="9.33203125" style="23"/>
  </cols>
  <sheetData>
    <row r="1" spans="1:19" ht="51.75" thickBot="1">
      <c r="A1" s="315" t="s">
        <v>99</v>
      </c>
      <c r="B1" s="316" t="s">
        <v>100</v>
      </c>
      <c r="D1" s="101" t="s">
        <v>120</v>
      </c>
      <c r="E1" s="103" t="s">
        <v>121</v>
      </c>
      <c r="F1" s="102" t="s">
        <v>1139</v>
      </c>
      <c r="G1" s="37"/>
      <c r="H1" s="101"/>
      <c r="I1" s="102" t="s">
        <v>349</v>
      </c>
      <c r="J1" s="7"/>
      <c r="K1" s="104" t="s">
        <v>1104</v>
      </c>
      <c r="L1" s="102" t="s">
        <v>1101</v>
      </c>
      <c r="N1" s="104" t="s">
        <v>1103</v>
      </c>
      <c r="O1" s="102" t="s">
        <v>1102</v>
      </c>
      <c r="Q1" s="106" t="s">
        <v>1145</v>
      </c>
    </row>
    <row r="2" spans="1:19">
      <c r="A2" s="317">
        <f>43924-(365*5)</f>
        <v>42099</v>
      </c>
      <c r="B2" s="318">
        <v>16</v>
      </c>
      <c r="D2" s="89" t="s">
        <v>122</v>
      </c>
      <c r="E2" s="92">
        <v>23</v>
      </c>
      <c r="F2" s="90">
        <v>5</v>
      </c>
      <c r="H2" s="253">
        <v>42642</v>
      </c>
      <c r="I2" s="90">
        <v>272</v>
      </c>
      <c r="K2" s="253">
        <v>43118</v>
      </c>
      <c r="L2" s="90"/>
      <c r="N2" s="253">
        <v>42427</v>
      </c>
      <c r="O2" s="90"/>
      <c r="Q2" s="254">
        <v>13</v>
      </c>
      <c r="S2" s="292"/>
    </row>
    <row r="3" spans="1:19">
      <c r="A3" s="317">
        <f>43928-(365*5)</f>
        <v>42103</v>
      </c>
      <c r="B3" s="318">
        <v>4</v>
      </c>
      <c r="D3" s="61" t="s">
        <v>123</v>
      </c>
      <c r="E3" s="24">
        <v>1</v>
      </c>
      <c r="F3" s="62">
        <v>1</v>
      </c>
      <c r="H3" s="250">
        <v>42645</v>
      </c>
      <c r="I3" s="62">
        <v>3</v>
      </c>
      <c r="K3" s="250">
        <v>43129</v>
      </c>
      <c r="L3" s="62">
        <f>K3-K2</f>
        <v>11</v>
      </c>
      <c r="N3" s="250">
        <v>42431</v>
      </c>
      <c r="O3" s="62">
        <v>4</v>
      </c>
      <c r="Q3" s="76">
        <v>21</v>
      </c>
      <c r="S3" s="292"/>
    </row>
    <row r="4" spans="1:19">
      <c r="A4" s="317">
        <f>43944-(365*5)</f>
        <v>42119</v>
      </c>
      <c r="B4" s="318">
        <v>16</v>
      </c>
      <c r="D4" s="61" t="s">
        <v>124</v>
      </c>
      <c r="E4" s="24">
        <v>3</v>
      </c>
      <c r="F4" s="62">
        <v>2</v>
      </c>
      <c r="H4" s="250">
        <v>42832</v>
      </c>
      <c r="I4" s="62">
        <v>187</v>
      </c>
      <c r="K4" s="250">
        <v>43135</v>
      </c>
      <c r="L4" s="62">
        <f t="shared" ref="L4:L22" si="0">K4-K3</f>
        <v>6</v>
      </c>
      <c r="N4" s="250">
        <v>42574</v>
      </c>
      <c r="O4" s="62">
        <v>143</v>
      </c>
      <c r="Q4" s="76">
        <v>14</v>
      </c>
      <c r="S4" s="292"/>
    </row>
    <row r="5" spans="1:19" ht="13.5" thickBot="1">
      <c r="A5" s="317">
        <f>43946-(365*5)</f>
        <v>42121</v>
      </c>
      <c r="B5" s="318">
        <v>2</v>
      </c>
      <c r="D5" s="63" t="s">
        <v>125</v>
      </c>
      <c r="E5" s="67">
        <v>7</v>
      </c>
      <c r="F5" s="64">
        <v>8</v>
      </c>
      <c r="H5" s="250">
        <v>43135</v>
      </c>
      <c r="I5" s="62">
        <v>303</v>
      </c>
      <c r="K5" s="250">
        <v>43137</v>
      </c>
      <c r="L5" s="62">
        <f t="shared" si="0"/>
        <v>2</v>
      </c>
      <c r="N5" s="250">
        <v>42589</v>
      </c>
      <c r="O5" s="62">
        <v>15</v>
      </c>
      <c r="Q5" s="76">
        <v>10</v>
      </c>
      <c r="S5" s="292"/>
    </row>
    <row r="6" spans="1:19">
      <c r="A6" s="317">
        <f>43953-(365*5)</f>
        <v>42128</v>
      </c>
      <c r="B6" s="318">
        <v>7</v>
      </c>
      <c r="H6" s="250">
        <v>43639</v>
      </c>
      <c r="I6" s="62">
        <v>504</v>
      </c>
      <c r="K6" s="250">
        <v>43155</v>
      </c>
      <c r="L6" s="62">
        <f t="shared" si="0"/>
        <v>18</v>
      </c>
      <c r="N6" s="250">
        <v>42637</v>
      </c>
      <c r="O6" s="62">
        <v>48</v>
      </c>
      <c r="Q6" s="76">
        <v>9</v>
      </c>
      <c r="S6" s="292"/>
    </row>
    <row r="7" spans="1:19" ht="13.5" thickBot="1">
      <c r="A7" s="317">
        <f>43980-(365*5)</f>
        <v>42155</v>
      </c>
      <c r="B7" s="318">
        <v>27</v>
      </c>
      <c r="E7" s="36"/>
      <c r="H7" s="251">
        <v>43951</v>
      </c>
      <c r="I7" s="64">
        <v>312</v>
      </c>
      <c r="K7" s="250">
        <v>43204</v>
      </c>
      <c r="L7" s="62">
        <f t="shared" si="0"/>
        <v>49</v>
      </c>
      <c r="N7" s="250">
        <v>42688</v>
      </c>
      <c r="O7" s="62">
        <v>51</v>
      </c>
      <c r="Q7" s="76">
        <v>12</v>
      </c>
      <c r="S7" s="292"/>
    </row>
    <row r="8" spans="1:19">
      <c r="A8" s="317">
        <f>43991-(365*5)</f>
        <v>42166</v>
      </c>
      <c r="B8" s="318">
        <v>11</v>
      </c>
      <c r="H8" s="23" t="s">
        <v>36</v>
      </c>
      <c r="K8" s="250">
        <v>43242</v>
      </c>
      <c r="L8" s="62">
        <f t="shared" si="0"/>
        <v>38</v>
      </c>
      <c r="N8" s="250">
        <v>42738</v>
      </c>
      <c r="O8" s="62">
        <v>50</v>
      </c>
      <c r="Q8" s="76">
        <v>18</v>
      </c>
      <c r="S8" s="292"/>
    </row>
    <row r="9" spans="1:19">
      <c r="A9" s="317">
        <f>44004-(365*5)</f>
        <v>42179</v>
      </c>
      <c r="B9" s="318">
        <v>13</v>
      </c>
      <c r="K9" s="250">
        <v>43249</v>
      </c>
      <c r="L9" s="62">
        <f t="shared" si="0"/>
        <v>7</v>
      </c>
      <c r="N9" s="250" t="s">
        <v>1214</v>
      </c>
      <c r="O9" s="62">
        <v>16</v>
      </c>
      <c r="Q9" s="76">
        <v>9</v>
      </c>
      <c r="S9" s="292"/>
    </row>
    <row r="10" spans="1:19">
      <c r="A10" s="317">
        <f>44029-(365*5)</f>
        <v>42204</v>
      </c>
      <c r="B10" s="318">
        <v>25</v>
      </c>
      <c r="K10" s="250">
        <v>43301</v>
      </c>
      <c r="L10" s="62">
        <f t="shared" si="0"/>
        <v>52</v>
      </c>
      <c r="N10" s="250">
        <v>42953</v>
      </c>
      <c r="O10" s="62">
        <v>199</v>
      </c>
      <c r="Q10" s="76">
        <v>8</v>
      </c>
      <c r="S10" s="292"/>
    </row>
    <row r="11" spans="1:19">
      <c r="A11" s="317">
        <f>44031-(365*5)</f>
        <v>42206</v>
      </c>
      <c r="B11" s="318">
        <v>2</v>
      </c>
      <c r="K11" s="250">
        <v>43323</v>
      </c>
      <c r="L11" s="62">
        <f t="shared" si="0"/>
        <v>22</v>
      </c>
      <c r="N11" s="250">
        <v>42990</v>
      </c>
      <c r="O11" s="62">
        <v>37</v>
      </c>
      <c r="Q11" s="76">
        <v>11</v>
      </c>
      <c r="S11" s="292"/>
    </row>
    <row r="12" spans="1:19">
      <c r="A12" s="317">
        <f>44038-(365*5)</f>
        <v>42213</v>
      </c>
      <c r="B12" s="318">
        <v>7</v>
      </c>
      <c r="D12" s="23">
        <f>365*5</f>
        <v>1825</v>
      </c>
      <c r="K12" s="250">
        <v>43327</v>
      </c>
      <c r="L12" s="62">
        <f t="shared" si="0"/>
        <v>4</v>
      </c>
      <c r="N12" s="250">
        <v>43044</v>
      </c>
      <c r="O12" s="62">
        <v>54</v>
      </c>
      <c r="Q12" s="76">
        <v>10</v>
      </c>
      <c r="S12" s="292"/>
    </row>
    <row r="13" spans="1:19">
      <c r="A13" s="317">
        <f>44064-(365*5)</f>
        <v>42239</v>
      </c>
      <c r="B13" s="318">
        <v>26</v>
      </c>
      <c r="K13" s="250">
        <v>43338</v>
      </c>
      <c r="L13" s="62">
        <f t="shared" si="0"/>
        <v>11</v>
      </c>
      <c r="N13" s="250">
        <v>43244</v>
      </c>
      <c r="O13" s="62">
        <v>200</v>
      </c>
      <c r="Q13" s="76">
        <v>19</v>
      </c>
      <c r="S13" s="292"/>
    </row>
    <row r="14" spans="1:19">
      <c r="A14" s="317">
        <f>44088-(365*5)</f>
        <v>42263</v>
      </c>
      <c r="B14" s="318">
        <v>24</v>
      </c>
      <c r="K14" s="250">
        <v>43345</v>
      </c>
      <c r="L14" s="62">
        <f t="shared" si="0"/>
        <v>7</v>
      </c>
      <c r="N14" s="250">
        <v>43255</v>
      </c>
      <c r="O14" s="62">
        <v>11</v>
      </c>
      <c r="Q14" s="76">
        <v>9</v>
      </c>
      <c r="S14" s="292"/>
    </row>
    <row r="15" spans="1:19">
      <c r="A15" s="317">
        <f>44094-(365*5)</f>
        <v>42269</v>
      </c>
      <c r="B15" s="318">
        <v>6</v>
      </c>
      <c r="K15" s="250">
        <v>43394</v>
      </c>
      <c r="L15" s="62">
        <f t="shared" si="0"/>
        <v>49</v>
      </c>
      <c r="N15" s="250">
        <v>43270</v>
      </c>
      <c r="O15" s="62">
        <v>15</v>
      </c>
      <c r="Q15" s="76">
        <v>13</v>
      </c>
      <c r="S15" s="292"/>
    </row>
    <row r="16" spans="1:19">
      <c r="A16" s="317">
        <f>44094-(365*5)</f>
        <v>42269</v>
      </c>
      <c r="B16" s="318">
        <v>0</v>
      </c>
      <c r="K16" s="250">
        <v>43395</v>
      </c>
      <c r="L16" s="62">
        <f t="shared" si="0"/>
        <v>1</v>
      </c>
      <c r="N16" s="250">
        <v>43385</v>
      </c>
      <c r="O16" s="62">
        <v>115</v>
      </c>
      <c r="Q16" s="76">
        <v>14</v>
      </c>
      <c r="S16" s="292"/>
    </row>
    <row r="17" spans="1:19">
      <c r="A17" s="317">
        <f>44102-(365*5)</f>
        <v>42277</v>
      </c>
      <c r="B17" s="318">
        <v>8</v>
      </c>
      <c r="K17" s="250">
        <v>43436</v>
      </c>
      <c r="L17" s="62">
        <f t="shared" si="0"/>
        <v>41</v>
      </c>
      <c r="N17" s="250">
        <v>43471</v>
      </c>
      <c r="O17" s="62">
        <v>86</v>
      </c>
      <c r="Q17" s="76">
        <v>12</v>
      </c>
      <c r="S17" s="292"/>
    </row>
    <row r="18" spans="1:19">
      <c r="A18" s="317">
        <f>44103-(365*5)</f>
        <v>42278</v>
      </c>
      <c r="B18" s="318">
        <v>1</v>
      </c>
      <c r="K18" s="250">
        <v>43645</v>
      </c>
      <c r="L18" s="62">
        <f t="shared" si="0"/>
        <v>209</v>
      </c>
      <c r="N18" s="250">
        <v>43534</v>
      </c>
      <c r="O18" s="62">
        <v>63</v>
      </c>
      <c r="Q18" s="76">
        <v>21</v>
      </c>
      <c r="S18" s="292"/>
    </row>
    <row r="19" spans="1:19">
      <c r="A19" s="317">
        <f>44108-(365*5)</f>
        <v>42283</v>
      </c>
      <c r="B19" s="318">
        <v>5</v>
      </c>
      <c r="K19" s="250">
        <v>43696</v>
      </c>
      <c r="L19" s="62">
        <f t="shared" si="0"/>
        <v>51</v>
      </c>
      <c r="N19" s="250">
        <v>43595</v>
      </c>
      <c r="O19" s="62">
        <v>61</v>
      </c>
      <c r="Q19" s="76">
        <v>10</v>
      </c>
      <c r="S19" s="292"/>
    </row>
    <row r="20" spans="1:19">
      <c r="A20" s="317">
        <f>44110-(365*5)</f>
        <v>42285</v>
      </c>
      <c r="B20" s="318">
        <v>2</v>
      </c>
      <c r="K20" s="250">
        <v>43719</v>
      </c>
      <c r="L20" s="62">
        <f t="shared" si="0"/>
        <v>23</v>
      </c>
      <c r="N20" s="250">
        <v>43767</v>
      </c>
      <c r="O20" s="62">
        <v>172</v>
      </c>
      <c r="Q20" s="76">
        <v>17</v>
      </c>
      <c r="S20" s="292"/>
    </row>
    <row r="21" spans="1:19">
      <c r="A21" s="317">
        <f>44115-(365*5)</f>
        <v>42290</v>
      </c>
      <c r="B21" s="318">
        <v>5</v>
      </c>
      <c r="K21" s="250">
        <v>43720</v>
      </c>
      <c r="L21" s="62">
        <f t="shared" si="0"/>
        <v>1</v>
      </c>
      <c r="N21" s="250">
        <v>43908</v>
      </c>
      <c r="O21" s="62">
        <v>141</v>
      </c>
      <c r="Q21" s="76">
        <v>9</v>
      </c>
      <c r="S21" s="292"/>
    </row>
    <row r="22" spans="1:19" ht="13.5" thickBot="1">
      <c r="A22" s="317">
        <f>44120-(365*5)</f>
        <v>42295</v>
      </c>
      <c r="B22" s="318">
        <v>5</v>
      </c>
      <c r="K22" s="251">
        <v>43776</v>
      </c>
      <c r="L22" s="64">
        <f t="shared" si="0"/>
        <v>56</v>
      </c>
      <c r="N22" s="251">
        <v>43985</v>
      </c>
      <c r="O22" s="64">
        <v>77</v>
      </c>
      <c r="Q22" s="76">
        <v>11</v>
      </c>
      <c r="S22" s="292"/>
    </row>
    <row r="23" spans="1:19">
      <c r="A23" s="317">
        <f>44122-(365*5)</f>
        <v>42297</v>
      </c>
      <c r="B23" s="318">
        <v>2</v>
      </c>
      <c r="Q23" s="76">
        <v>22</v>
      </c>
      <c r="S23" s="292"/>
    </row>
    <row r="24" spans="1:19">
      <c r="A24" s="317">
        <f>44147-(365*5)</f>
        <v>42322</v>
      </c>
      <c r="B24" s="318">
        <v>25</v>
      </c>
      <c r="Q24" s="76">
        <v>15</v>
      </c>
      <c r="S24" s="292"/>
    </row>
    <row r="25" spans="1:19">
      <c r="A25" s="317">
        <f>44148-(365*5)</f>
        <v>42323</v>
      </c>
      <c r="B25" s="318">
        <v>1</v>
      </c>
      <c r="Q25" s="76">
        <v>24</v>
      </c>
      <c r="S25" s="292"/>
    </row>
    <row r="26" spans="1:19">
      <c r="A26" s="317">
        <f>44161-(365*5)</f>
        <v>42336</v>
      </c>
      <c r="B26" s="318">
        <v>13</v>
      </c>
      <c r="Q26" s="76">
        <v>27</v>
      </c>
      <c r="S26" s="292"/>
    </row>
    <row r="27" spans="1:19">
      <c r="A27" s="317">
        <f>44162-(365*5)</f>
        <v>42337</v>
      </c>
      <c r="B27" s="318">
        <v>1</v>
      </c>
      <c r="Q27" s="76">
        <v>50</v>
      </c>
      <c r="S27" s="292"/>
    </row>
    <row r="28" spans="1:19" ht="13.5" thickBot="1">
      <c r="A28" s="317">
        <f>44175-(365*5)</f>
        <v>42350</v>
      </c>
      <c r="B28" s="318">
        <v>13</v>
      </c>
      <c r="Q28" s="252">
        <v>26</v>
      </c>
      <c r="S28" s="292"/>
    </row>
    <row r="29" spans="1:19" ht="12" customHeight="1">
      <c r="A29" s="317">
        <f>44203-(365*5)</f>
        <v>42378</v>
      </c>
      <c r="B29" s="318">
        <v>28</v>
      </c>
      <c r="S29" s="292"/>
    </row>
    <row r="30" spans="1:19" ht="12" customHeight="1">
      <c r="A30" s="317">
        <f>44207-(365*5)</f>
        <v>42382</v>
      </c>
      <c r="B30" s="318">
        <v>4</v>
      </c>
      <c r="S30" s="292"/>
    </row>
    <row r="31" spans="1:19" ht="12" customHeight="1">
      <c r="A31" s="317">
        <f>44273-(365*5)</f>
        <v>42448</v>
      </c>
      <c r="B31" s="318">
        <v>66</v>
      </c>
      <c r="S31" s="292"/>
    </row>
    <row r="32" spans="1:19" ht="12" customHeight="1">
      <c r="A32" s="317">
        <f>44274-(365*5)</f>
        <v>42449</v>
      </c>
      <c r="B32" s="318">
        <v>1</v>
      </c>
      <c r="S32" s="292"/>
    </row>
    <row r="33" spans="1:19" ht="12" customHeight="1">
      <c r="A33" s="317">
        <f>44288-(365*5)</f>
        <v>42463</v>
      </c>
      <c r="B33" s="318">
        <v>14</v>
      </c>
      <c r="S33" s="292"/>
    </row>
    <row r="34" spans="1:19" ht="12" customHeight="1">
      <c r="A34" s="317">
        <f>44295-(365*5)</f>
        <v>42470</v>
      </c>
      <c r="B34" s="318">
        <v>7</v>
      </c>
      <c r="S34" s="292"/>
    </row>
    <row r="35" spans="1:19" ht="12" customHeight="1">
      <c r="A35" s="317">
        <f>44330-(365*5)</f>
        <v>42505</v>
      </c>
      <c r="B35" s="318">
        <v>35</v>
      </c>
      <c r="S35" s="292"/>
    </row>
    <row r="36" spans="1:19" ht="12" customHeight="1">
      <c r="A36" s="317">
        <f>44337-(365*5)</f>
        <v>42512</v>
      </c>
      <c r="B36" s="318">
        <v>7</v>
      </c>
      <c r="S36" s="292"/>
    </row>
    <row r="37" spans="1:19" ht="12" customHeight="1">
      <c r="A37" s="317">
        <f>44338-(365*5)</f>
        <v>42513</v>
      </c>
      <c r="B37" s="318">
        <v>1</v>
      </c>
      <c r="S37" s="292"/>
    </row>
    <row r="38" spans="1:19" ht="12" customHeight="1">
      <c r="A38" s="317">
        <f>44383-(365*5)</f>
        <v>42558</v>
      </c>
      <c r="B38" s="318">
        <v>45</v>
      </c>
      <c r="S38" s="292"/>
    </row>
    <row r="39" spans="1:19" ht="12" customHeight="1">
      <c r="A39" s="317">
        <f>44384-(365*5)</f>
        <v>42559</v>
      </c>
      <c r="B39" s="318">
        <v>1</v>
      </c>
      <c r="S39" s="292"/>
    </row>
    <row r="40" spans="1:19" ht="12" customHeight="1">
      <c r="A40" s="317">
        <f>44390-(365*5)</f>
        <v>42565</v>
      </c>
      <c r="B40" s="318">
        <v>6</v>
      </c>
      <c r="S40" s="292"/>
    </row>
    <row r="41" spans="1:19" ht="12" customHeight="1">
      <c r="A41" s="317">
        <f>44431-(365*5)</f>
        <v>42606</v>
      </c>
      <c r="B41" s="318">
        <v>41</v>
      </c>
      <c r="S41" s="292"/>
    </row>
    <row r="42" spans="1:19" ht="12" customHeight="1">
      <c r="A42" s="317">
        <f>44432-(365*5)</f>
        <v>42607</v>
      </c>
      <c r="B42" s="318">
        <v>1</v>
      </c>
      <c r="S42" s="292"/>
    </row>
    <row r="43" spans="1:19" ht="12" customHeight="1">
      <c r="A43" s="317">
        <f>44474-(365*5)</f>
        <v>42649</v>
      </c>
      <c r="B43" s="318">
        <v>42</v>
      </c>
      <c r="S43" s="292"/>
    </row>
    <row r="44" spans="1:19" ht="12" customHeight="1">
      <c r="A44" s="317">
        <f>44510-(365*5)</f>
        <v>42685</v>
      </c>
      <c r="B44" s="318">
        <v>36</v>
      </c>
      <c r="S44" s="292"/>
    </row>
    <row r="45" spans="1:19" ht="12" customHeight="1">
      <c r="A45" s="317">
        <f>44543-(365*5)</f>
        <v>42718</v>
      </c>
      <c r="B45" s="318">
        <v>33</v>
      </c>
      <c r="S45" s="292"/>
    </row>
    <row r="46" spans="1:19" ht="12" customHeight="1">
      <c r="A46" s="317">
        <f>44557-(365*5)</f>
        <v>42732</v>
      </c>
      <c r="B46" s="318">
        <v>14</v>
      </c>
      <c r="S46" s="292"/>
    </row>
    <row r="47" spans="1:19" ht="12" customHeight="1">
      <c r="A47" s="317">
        <f>44574-(365*5)</f>
        <v>42749</v>
      </c>
      <c r="B47" s="318">
        <v>17</v>
      </c>
      <c r="S47" s="292"/>
    </row>
    <row r="48" spans="1:19" ht="12" customHeight="1">
      <c r="A48" s="317">
        <f>44575-(365*5)</f>
        <v>42750</v>
      </c>
      <c r="B48" s="318">
        <v>1</v>
      </c>
      <c r="S48" s="292"/>
    </row>
    <row r="49" spans="1:19" ht="12" customHeight="1">
      <c r="A49" s="317">
        <f>44602-(365*5)</f>
        <v>42777</v>
      </c>
      <c r="B49" s="318">
        <v>27</v>
      </c>
      <c r="S49" s="292"/>
    </row>
    <row r="50" spans="1:19" ht="12" customHeight="1">
      <c r="A50" s="317">
        <f>44628-(365*5)</f>
        <v>42803</v>
      </c>
      <c r="B50" s="318">
        <v>26</v>
      </c>
      <c r="S50" s="292"/>
    </row>
    <row r="51" spans="1:19" ht="12" customHeight="1">
      <c r="A51" s="317">
        <f>44677-(365*5)</f>
        <v>42852</v>
      </c>
      <c r="B51" s="318">
        <v>49</v>
      </c>
      <c r="S51" s="292"/>
    </row>
    <row r="52" spans="1:19" ht="12" customHeight="1">
      <c r="A52" s="317">
        <f>44677-(365*5)</f>
        <v>42852</v>
      </c>
      <c r="B52" s="318">
        <v>0</v>
      </c>
      <c r="S52" s="292"/>
    </row>
    <row r="53" spans="1:19" ht="12" customHeight="1">
      <c r="A53" s="317">
        <f>44678-(365*5)</f>
        <v>42853</v>
      </c>
      <c r="B53" s="318">
        <v>1</v>
      </c>
      <c r="S53" s="292"/>
    </row>
    <row r="54" spans="1:19" ht="12" customHeight="1">
      <c r="A54" s="317">
        <f>44723-(365*5)</f>
        <v>42898</v>
      </c>
      <c r="B54" s="319">
        <v>45</v>
      </c>
      <c r="S54" s="292"/>
    </row>
    <row r="55" spans="1:19" ht="12" customHeight="1">
      <c r="A55" s="317">
        <f>44766-(365*5)</f>
        <v>42941</v>
      </c>
      <c r="B55" s="319">
        <v>43</v>
      </c>
      <c r="S55" s="292"/>
    </row>
    <row r="56" spans="1:19" ht="12" customHeight="1">
      <c r="A56" s="317">
        <f>44813-(365*5)</f>
        <v>42988</v>
      </c>
      <c r="B56" s="319">
        <v>47</v>
      </c>
      <c r="S56" s="292"/>
    </row>
    <row r="57" spans="1:19" ht="12" customHeight="1">
      <c r="A57" s="317">
        <f>44814-(365*5)</f>
        <v>42989</v>
      </c>
      <c r="B57" s="319">
        <v>1</v>
      </c>
      <c r="S57" s="292"/>
    </row>
    <row r="58" spans="1:19" ht="12" customHeight="1">
      <c r="A58" s="317">
        <f>4383-(365*5)</f>
        <v>2558</v>
      </c>
      <c r="B58" s="319"/>
      <c r="S58" s="292"/>
    </row>
    <row r="59" spans="1:19" ht="12" customHeight="1">
      <c r="A59" s="317">
        <f>44931-(365*5)</f>
        <v>43106</v>
      </c>
      <c r="B59" s="319">
        <v>117</v>
      </c>
      <c r="S59" s="292"/>
    </row>
    <row r="60" spans="1:19" ht="12" customHeight="1">
      <c r="A60" s="317">
        <f>44979-(365*5)</f>
        <v>43154</v>
      </c>
      <c r="B60" s="319">
        <v>48</v>
      </c>
      <c r="S60" s="292"/>
    </row>
    <row r="61" spans="1:19" ht="12" customHeight="1">
      <c r="A61" s="317">
        <f>44994-(365*5)</f>
        <v>43169</v>
      </c>
      <c r="B61" s="319">
        <v>15</v>
      </c>
      <c r="S61" s="292"/>
    </row>
    <row r="62" spans="1:19" ht="12" customHeight="1">
      <c r="A62" s="317">
        <f>45069-(365*5)</f>
        <v>43244</v>
      </c>
      <c r="B62" s="319">
        <v>75</v>
      </c>
      <c r="S62" s="292"/>
    </row>
    <row r="63" spans="1:19" ht="12" customHeight="1">
      <c r="A63" s="317">
        <f>45071-(365*5)</f>
        <v>43246</v>
      </c>
      <c r="B63" s="319">
        <v>2</v>
      </c>
      <c r="S63" s="292"/>
    </row>
    <row r="64" spans="1:19" ht="12" customHeight="1">
      <c r="A64" s="317">
        <f>45219-(365*5)</f>
        <v>43394</v>
      </c>
      <c r="B64" s="319">
        <v>148</v>
      </c>
      <c r="S64" s="292"/>
    </row>
    <row r="65" spans="1:19" ht="12" customHeight="1">
      <c r="A65" s="317">
        <f>45268-(365*5)</f>
        <v>43443</v>
      </c>
      <c r="B65" s="319">
        <v>49</v>
      </c>
      <c r="S65" s="292"/>
    </row>
    <row r="66" spans="1:19" ht="12" customHeight="1">
      <c r="A66" s="317">
        <f>45288-(365*5)</f>
        <v>43463</v>
      </c>
      <c r="B66" s="319">
        <v>20</v>
      </c>
      <c r="S66" s="292"/>
    </row>
    <row r="67" spans="1:19" ht="12" customHeight="1">
      <c r="A67" s="317">
        <f>45467-(365*5)</f>
        <v>43642</v>
      </c>
      <c r="B67" s="319">
        <v>179</v>
      </c>
      <c r="S67" s="292"/>
    </row>
    <row r="68" spans="1:19" ht="12" customHeight="1">
      <c r="A68" s="317">
        <f>45474-(365*5)</f>
        <v>43649</v>
      </c>
      <c r="B68" s="319">
        <v>7</v>
      </c>
      <c r="S68" s="292"/>
    </row>
    <row r="69" spans="1:19" ht="12" customHeight="1">
      <c r="A69" s="317">
        <f>45635-(365*5)</f>
        <v>43810</v>
      </c>
      <c r="B69" s="319">
        <v>161</v>
      </c>
      <c r="S69" s="292"/>
    </row>
    <row r="70" spans="1:19" ht="12" customHeight="1">
      <c r="A70" s="317">
        <f>45676-(365*5)</f>
        <v>43851</v>
      </c>
      <c r="B70" s="319">
        <v>41</v>
      </c>
      <c r="S70" s="292"/>
    </row>
    <row r="71" spans="1:19" ht="12" customHeight="1">
      <c r="A71" s="317">
        <f>45715-(365*5)</f>
        <v>43890</v>
      </c>
      <c r="B71" s="319">
        <v>39</v>
      </c>
      <c r="S71" s="292"/>
    </row>
    <row r="72" spans="1:19" ht="12" customHeight="1">
      <c r="A72" s="317">
        <f>45763-(365*5)</f>
        <v>43938</v>
      </c>
      <c r="B72" s="319">
        <v>48</v>
      </c>
      <c r="S72" s="292"/>
    </row>
    <row r="73" spans="1:19" ht="12" customHeight="1"/>
    <row r="74" spans="1:19" ht="12" customHeight="1"/>
    <row r="75" spans="1:19" ht="12" customHeight="1"/>
    <row r="76" spans="1:19" ht="12" customHeight="1"/>
    <row r="77" spans="1:19" ht="12" customHeight="1"/>
    <row r="78" spans="1:19" ht="12" customHeight="1"/>
    <row r="79" spans="1:19" ht="12" customHeight="1"/>
    <row r="80" spans="1:19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</sheetData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54"/>
  <sheetViews>
    <sheetView showGridLines="0" workbookViewId="0">
      <pane ySplit="1" topLeftCell="A2" activePane="bottomLeft" state="frozen"/>
      <selection pane="bottomLeft" sqref="A1:B54"/>
    </sheetView>
  </sheetViews>
  <sheetFormatPr defaultRowHeight="12.75"/>
  <cols>
    <col min="2" max="2" width="16.1640625" customWidth="1"/>
    <col min="4" max="4" width="13.33203125" bestFit="1" customWidth="1"/>
  </cols>
  <sheetData>
    <row r="1" spans="1:4" ht="39" thickBot="1">
      <c r="A1" s="255" t="s">
        <v>1157</v>
      </c>
      <c r="B1" s="102" t="s">
        <v>1158</v>
      </c>
    </row>
    <row r="2" spans="1:4">
      <c r="A2" s="322">
        <v>43478</v>
      </c>
      <c r="B2" s="90"/>
      <c r="D2" s="292"/>
    </row>
    <row r="3" spans="1:4">
      <c r="A3" s="322">
        <v>43485</v>
      </c>
      <c r="B3" s="62">
        <v>7</v>
      </c>
      <c r="D3" s="292"/>
    </row>
    <row r="4" spans="1:4">
      <c r="A4" s="322">
        <v>43495</v>
      </c>
      <c r="B4" s="62">
        <v>10</v>
      </c>
      <c r="D4" s="292"/>
    </row>
    <row r="5" spans="1:4">
      <c r="A5" s="322">
        <v>43498</v>
      </c>
      <c r="B5" s="62">
        <v>3</v>
      </c>
      <c r="D5" s="292"/>
    </row>
    <row r="6" spans="1:4">
      <c r="A6" s="322">
        <v>43505</v>
      </c>
      <c r="B6" s="62">
        <v>7</v>
      </c>
      <c r="D6" s="292"/>
    </row>
    <row r="7" spans="1:4">
      <c r="A7" s="322">
        <v>43526</v>
      </c>
      <c r="B7" s="62">
        <v>20</v>
      </c>
      <c r="D7" s="292"/>
    </row>
    <row r="8" spans="1:4">
      <c r="A8" s="322">
        <v>43540</v>
      </c>
      <c r="B8" s="62">
        <v>14</v>
      </c>
      <c r="D8" s="292"/>
    </row>
    <row r="9" spans="1:4">
      <c r="A9" s="322">
        <v>43550</v>
      </c>
      <c r="B9" s="62">
        <v>10</v>
      </c>
      <c r="D9" s="292"/>
    </row>
    <row r="10" spans="1:4">
      <c r="A10" s="322">
        <v>43560</v>
      </c>
      <c r="B10" s="62">
        <v>10</v>
      </c>
      <c r="D10" s="292"/>
    </row>
    <row r="11" spans="1:4">
      <c r="A11" s="322">
        <v>43588</v>
      </c>
      <c r="B11" s="62">
        <v>28</v>
      </c>
      <c r="D11" s="292"/>
    </row>
    <row r="12" spans="1:4">
      <c r="A12" s="322">
        <v>43602</v>
      </c>
      <c r="B12" s="62">
        <v>14</v>
      </c>
      <c r="D12" s="292"/>
    </row>
    <row r="13" spans="1:4">
      <c r="A13" s="322">
        <v>43606</v>
      </c>
      <c r="B13" s="62">
        <v>4</v>
      </c>
      <c r="D13" s="292"/>
    </row>
    <row r="14" spans="1:4">
      <c r="A14" s="322">
        <v>43612</v>
      </c>
      <c r="B14" s="62">
        <v>6</v>
      </c>
      <c r="D14" s="292"/>
    </row>
    <row r="15" spans="1:4">
      <c r="A15" s="322">
        <v>43614</v>
      </c>
      <c r="B15" s="62">
        <v>2</v>
      </c>
      <c r="D15" s="292"/>
    </row>
    <row r="16" spans="1:4">
      <c r="A16" s="322">
        <v>43620</v>
      </c>
      <c r="B16" s="62">
        <v>6</v>
      </c>
      <c r="D16" s="292"/>
    </row>
    <row r="17" spans="1:4">
      <c r="A17" s="322">
        <v>43633</v>
      </c>
      <c r="B17" s="62">
        <v>13</v>
      </c>
      <c r="D17" s="292"/>
    </row>
    <row r="18" spans="1:4">
      <c r="A18" s="322">
        <v>43645</v>
      </c>
      <c r="B18" s="62">
        <v>12</v>
      </c>
      <c r="D18" s="292"/>
    </row>
    <row r="19" spans="1:4">
      <c r="A19" s="322">
        <v>43656</v>
      </c>
      <c r="B19" s="62">
        <v>11</v>
      </c>
      <c r="D19" s="292"/>
    </row>
    <row r="20" spans="1:4">
      <c r="A20" s="322">
        <v>43657</v>
      </c>
      <c r="B20" s="62">
        <v>1</v>
      </c>
      <c r="D20" s="292"/>
    </row>
    <row r="21" spans="1:4">
      <c r="A21" s="322">
        <v>43660</v>
      </c>
      <c r="B21" s="62">
        <v>3</v>
      </c>
      <c r="D21" s="292"/>
    </row>
    <row r="22" spans="1:4">
      <c r="A22" s="322">
        <v>43675</v>
      </c>
      <c r="B22" s="62">
        <v>15</v>
      </c>
      <c r="D22" s="292"/>
    </row>
    <row r="23" spans="1:4">
      <c r="A23" s="322">
        <v>43697</v>
      </c>
      <c r="B23" s="62">
        <v>22</v>
      </c>
      <c r="D23" s="292"/>
    </row>
    <row r="24" spans="1:4">
      <c r="A24" s="322">
        <v>43718</v>
      </c>
      <c r="B24" s="62">
        <v>21</v>
      </c>
      <c r="D24" s="292"/>
    </row>
    <row r="25" spans="1:4">
      <c r="A25" s="322">
        <v>43744</v>
      </c>
      <c r="B25" s="62">
        <v>26</v>
      </c>
      <c r="D25" s="292"/>
    </row>
    <row r="26" spans="1:4">
      <c r="A26" s="322">
        <v>43746</v>
      </c>
      <c r="B26" s="62">
        <v>2</v>
      </c>
      <c r="D26" s="292"/>
    </row>
    <row r="27" spans="1:4">
      <c r="A27" s="322">
        <v>43749</v>
      </c>
      <c r="B27" s="62">
        <v>3</v>
      </c>
      <c r="D27" s="292"/>
    </row>
    <row r="28" spans="1:4">
      <c r="A28" s="322">
        <v>43753</v>
      </c>
      <c r="B28" s="62">
        <v>4</v>
      </c>
      <c r="D28" s="292"/>
    </row>
    <row r="29" spans="1:4">
      <c r="A29" s="322">
        <v>43754</v>
      </c>
      <c r="B29" s="62">
        <v>1</v>
      </c>
      <c r="D29" s="292"/>
    </row>
    <row r="30" spans="1:4">
      <c r="A30" s="322">
        <v>43756</v>
      </c>
      <c r="B30" s="62">
        <v>2</v>
      </c>
      <c r="D30" s="292"/>
    </row>
    <row r="31" spans="1:4">
      <c r="A31" s="322">
        <v>43757</v>
      </c>
      <c r="B31" s="62">
        <v>1</v>
      </c>
      <c r="D31" s="292"/>
    </row>
    <row r="32" spans="1:4">
      <c r="A32" s="322">
        <v>43763</v>
      </c>
      <c r="B32" s="62">
        <v>6</v>
      </c>
      <c r="D32" s="292"/>
    </row>
    <row r="33" spans="1:4">
      <c r="A33" s="322">
        <v>43782</v>
      </c>
      <c r="B33" s="62">
        <v>19</v>
      </c>
      <c r="D33" s="292"/>
    </row>
    <row r="34" spans="1:4">
      <c r="A34" s="322">
        <v>43785</v>
      </c>
      <c r="B34" s="62">
        <v>3</v>
      </c>
      <c r="D34" s="292"/>
    </row>
    <row r="35" spans="1:4">
      <c r="A35" s="322">
        <v>43791</v>
      </c>
      <c r="B35" s="62">
        <v>6</v>
      </c>
      <c r="D35" s="292"/>
    </row>
    <row r="36" spans="1:4">
      <c r="A36" s="322">
        <v>43793</v>
      </c>
      <c r="B36" s="62">
        <v>2</v>
      </c>
      <c r="D36" s="292"/>
    </row>
    <row r="37" spans="1:4">
      <c r="A37" s="322">
        <v>43812</v>
      </c>
      <c r="B37" s="62">
        <v>19</v>
      </c>
      <c r="D37" s="292"/>
    </row>
    <row r="38" spans="1:4">
      <c r="A38" s="322">
        <v>43814</v>
      </c>
      <c r="B38" s="62">
        <v>2</v>
      </c>
      <c r="D38" s="292"/>
    </row>
    <row r="39" spans="1:4">
      <c r="A39" s="322">
        <v>43820</v>
      </c>
      <c r="B39" s="62">
        <v>6</v>
      </c>
      <c r="D39" s="292"/>
    </row>
    <row r="40" spans="1:4">
      <c r="A40" s="322">
        <v>43855</v>
      </c>
      <c r="B40" s="62">
        <v>35</v>
      </c>
      <c r="D40" s="292"/>
    </row>
    <row r="41" spans="1:4">
      <c r="A41" s="322">
        <v>43856</v>
      </c>
      <c r="B41" s="62">
        <v>1</v>
      </c>
      <c r="D41" s="292"/>
    </row>
    <row r="42" spans="1:4">
      <c r="A42" s="322">
        <v>43856</v>
      </c>
      <c r="B42" s="62">
        <v>0</v>
      </c>
      <c r="D42" s="292"/>
    </row>
    <row r="43" spans="1:4">
      <c r="A43" s="322">
        <v>43923</v>
      </c>
      <c r="B43" s="62">
        <v>67</v>
      </c>
      <c r="D43" s="292"/>
    </row>
    <row r="44" spans="1:4">
      <c r="A44" s="322">
        <v>43927</v>
      </c>
      <c r="B44" s="62">
        <v>4</v>
      </c>
      <c r="D44" s="292"/>
    </row>
    <row r="45" spans="1:4">
      <c r="A45" s="322">
        <v>43927</v>
      </c>
      <c r="B45" s="62">
        <v>0</v>
      </c>
      <c r="D45" s="292"/>
    </row>
    <row r="46" spans="1:4">
      <c r="A46" s="322">
        <v>43933</v>
      </c>
      <c r="B46" s="62">
        <v>6</v>
      </c>
      <c r="D46" s="292"/>
    </row>
    <row r="47" spans="1:4">
      <c r="A47" s="322">
        <v>43943</v>
      </c>
      <c r="B47" s="62">
        <v>10</v>
      </c>
      <c r="D47" s="292"/>
    </row>
    <row r="48" spans="1:4">
      <c r="A48" s="322">
        <v>43967</v>
      </c>
      <c r="B48" s="62">
        <v>24</v>
      </c>
      <c r="D48" s="292"/>
    </row>
    <row r="49" spans="1:4">
      <c r="A49" s="322">
        <v>43971</v>
      </c>
      <c r="B49" s="62">
        <v>4</v>
      </c>
      <c r="D49" s="292"/>
    </row>
    <row r="50" spans="1:4">
      <c r="A50" s="322">
        <v>43989</v>
      </c>
      <c r="B50" s="62">
        <v>18</v>
      </c>
      <c r="D50" s="292"/>
    </row>
    <row r="51" spans="1:4">
      <c r="A51" s="322">
        <v>44018</v>
      </c>
      <c r="B51" s="62">
        <v>29</v>
      </c>
      <c r="D51" s="292"/>
    </row>
    <row r="52" spans="1:4">
      <c r="A52" s="322">
        <v>44031</v>
      </c>
      <c r="B52" s="62">
        <v>13</v>
      </c>
      <c r="D52" s="292"/>
    </row>
    <row r="53" spans="1:4">
      <c r="A53" s="322">
        <v>44037</v>
      </c>
      <c r="B53" s="62">
        <v>6</v>
      </c>
      <c r="D53" s="292"/>
    </row>
    <row r="54" spans="1:4" ht="13.5" thickBot="1">
      <c r="A54" s="323">
        <v>44037</v>
      </c>
      <c r="B54" s="64">
        <v>0</v>
      </c>
      <c r="D54" s="29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M301"/>
  <sheetViews>
    <sheetView showGridLines="0" workbookViewId="0">
      <pane ySplit="1" topLeftCell="A2" activePane="bottomLeft" state="frozen"/>
      <selection pane="bottomLeft" sqref="A1:A301"/>
    </sheetView>
  </sheetViews>
  <sheetFormatPr defaultRowHeight="12.75"/>
  <cols>
    <col min="1" max="1" width="19" style="23" customWidth="1"/>
    <col min="2" max="5" width="9.33203125" style="23"/>
    <col min="6" max="6" width="17.6640625" style="23" customWidth="1"/>
    <col min="7" max="12" width="9.33203125" style="23"/>
    <col min="13" max="13" width="17.6640625" style="23" customWidth="1"/>
    <col min="14" max="16384" width="9.33203125" style="23"/>
  </cols>
  <sheetData>
    <row r="1" spans="1:13" ht="51.75" thickBot="1">
      <c r="A1" s="106" t="s">
        <v>101</v>
      </c>
      <c r="F1" s="106" t="s">
        <v>1216</v>
      </c>
      <c r="H1" s="343" t="s">
        <v>1135</v>
      </c>
      <c r="I1" s="344"/>
      <c r="J1" s="344"/>
      <c r="K1" s="345"/>
      <c r="M1" s="106" t="s">
        <v>1215</v>
      </c>
    </row>
    <row r="2" spans="1:13" ht="13.5" thickBot="1">
      <c r="A2" s="254">
        <v>19.45077857375145</v>
      </c>
      <c r="F2" s="254">
        <v>9</v>
      </c>
      <c r="M2" s="254">
        <v>9</v>
      </c>
    </row>
    <row r="3" spans="1:13" ht="13.5" thickBot="1">
      <c r="A3" s="76">
        <v>1.8573999012587592</v>
      </c>
      <c r="B3" s="147" t="s">
        <v>102</v>
      </c>
      <c r="C3" s="148"/>
      <c r="F3" s="76">
        <v>20</v>
      </c>
      <c r="G3" s="147" t="s">
        <v>1136</v>
      </c>
      <c r="H3" s="148"/>
      <c r="M3" s="76">
        <v>20</v>
      </c>
    </row>
    <row r="4" spans="1:13">
      <c r="A4" s="76">
        <v>25.248121154494584</v>
      </c>
      <c r="F4" s="76">
        <v>20</v>
      </c>
      <c r="M4" s="76">
        <v>20</v>
      </c>
    </row>
    <row r="5" spans="1:13">
      <c r="A5" s="76">
        <v>2.1139905685558915</v>
      </c>
      <c r="F5" s="76">
        <v>20</v>
      </c>
      <c r="M5" s="76">
        <v>20</v>
      </c>
    </row>
    <row r="6" spans="1:13">
      <c r="A6" s="76">
        <v>42.842914616689086</v>
      </c>
      <c r="F6" s="76">
        <v>37</v>
      </c>
      <c r="M6" s="76">
        <v>37</v>
      </c>
    </row>
    <row r="7" spans="1:13">
      <c r="A7" s="76">
        <v>1.9443839745363221</v>
      </c>
      <c r="F7" s="76">
        <v>55</v>
      </c>
      <c r="M7" s="76">
        <v>25</v>
      </c>
    </row>
    <row r="8" spans="1:13">
      <c r="A8" s="76">
        <v>19.614892870653421</v>
      </c>
      <c r="F8" s="76">
        <v>37</v>
      </c>
      <c r="M8" s="76">
        <v>37</v>
      </c>
    </row>
    <row r="9" spans="1:13">
      <c r="A9" s="76">
        <v>18.471412466955371</v>
      </c>
      <c r="F9" s="76">
        <v>20</v>
      </c>
      <c r="M9" s="76">
        <v>20</v>
      </c>
    </row>
    <row r="10" spans="1:13">
      <c r="A10" s="76">
        <v>27.94187165715266</v>
      </c>
      <c r="F10" s="76">
        <v>37</v>
      </c>
      <c r="M10" s="76">
        <v>37</v>
      </c>
    </row>
    <row r="11" spans="1:13">
      <c r="A11" s="76">
        <v>0.10907316312659532</v>
      </c>
      <c r="F11" s="76">
        <v>29</v>
      </c>
      <c r="M11" s="76">
        <v>29</v>
      </c>
    </row>
    <row r="12" spans="1:13">
      <c r="A12" s="76">
        <v>0.65886271034833044</v>
      </c>
      <c r="F12" s="76">
        <v>33</v>
      </c>
      <c r="M12" s="76">
        <v>33</v>
      </c>
    </row>
    <row r="13" spans="1:13">
      <c r="A13" s="76">
        <v>27.965336620458402</v>
      </c>
      <c r="F13" s="76">
        <v>33</v>
      </c>
      <c r="M13" s="76">
        <v>33</v>
      </c>
    </row>
    <row r="14" spans="1:13">
      <c r="A14" s="76">
        <v>2.5132183408131823</v>
      </c>
      <c r="F14" s="76">
        <v>6</v>
      </c>
      <c r="M14" s="76">
        <v>6</v>
      </c>
    </row>
    <row r="15" spans="1:13">
      <c r="A15" s="76">
        <v>16.511924321879633</v>
      </c>
      <c r="F15" s="76">
        <v>100</v>
      </c>
      <c r="M15" s="76">
        <v>25</v>
      </c>
    </row>
    <row r="16" spans="1:13">
      <c r="A16" s="76">
        <v>23.492750905337743</v>
      </c>
      <c r="F16" s="76">
        <v>98</v>
      </c>
      <c r="M16" s="76">
        <v>28</v>
      </c>
    </row>
    <row r="17" spans="1:13">
      <c r="A17" s="76">
        <v>11.657664607686456</v>
      </c>
      <c r="F17" s="76">
        <v>20</v>
      </c>
      <c r="M17" s="76">
        <v>20</v>
      </c>
    </row>
    <row r="18" spans="1:13">
      <c r="A18" s="76">
        <v>15.485877874074504</v>
      </c>
      <c r="F18" s="76">
        <v>73</v>
      </c>
      <c r="M18" s="76">
        <v>47</v>
      </c>
    </row>
    <row r="19" spans="1:13">
      <c r="A19" s="76">
        <v>5.3906231086002663</v>
      </c>
      <c r="F19" s="76">
        <v>14</v>
      </c>
      <c r="M19" s="76">
        <v>14</v>
      </c>
    </row>
    <row r="20" spans="1:13">
      <c r="A20" s="76">
        <v>31.665133782429621</v>
      </c>
      <c r="F20" s="76">
        <v>50</v>
      </c>
      <c r="M20" s="76">
        <v>24</v>
      </c>
    </row>
    <row r="21" spans="1:13">
      <c r="A21" s="76">
        <v>4.6010953054646961</v>
      </c>
      <c r="F21" s="76">
        <v>25</v>
      </c>
      <c r="M21" s="76">
        <v>25</v>
      </c>
    </row>
    <row r="22" spans="1:13">
      <c r="A22" s="76">
        <v>27.278222468215972</v>
      </c>
      <c r="F22" s="76">
        <v>40</v>
      </c>
      <c r="M22" s="76">
        <v>40</v>
      </c>
    </row>
    <row r="23" spans="1:13">
      <c r="A23" s="76">
        <v>4.6727629625238478</v>
      </c>
      <c r="F23" s="76">
        <v>120</v>
      </c>
      <c r="M23" s="76">
        <v>33</v>
      </c>
    </row>
    <row r="24" spans="1:13">
      <c r="A24" s="76">
        <v>15.028010956360959</v>
      </c>
      <c r="F24" s="76">
        <v>18</v>
      </c>
      <c r="M24" s="76">
        <v>18</v>
      </c>
    </row>
    <row r="25" spans="1:13">
      <c r="A25" s="76">
        <v>21.334087442606688</v>
      </c>
      <c r="F25" s="76">
        <v>44</v>
      </c>
      <c r="M25" s="76">
        <v>44</v>
      </c>
    </row>
    <row r="26" spans="1:13">
      <c r="A26" s="76">
        <v>5.8301818979671225</v>
      </c>
      <c r="F26" s="76">
        <v>24</v>
      </c>
      <c r="M26" s="76">
        <v>24</v>
      </c>
    </row>
    <row r="27" spans="1:13">
      <c r="A27" s="76">
        <v>1.1961285155266523</v>
      </c>
      <c r="F27" s="76">
        <v>10</v>
      </c>
      <c r="M27" s="76">
        <v>10</v>
      </c>
    </row>
    <row r="28" spans="1:13">
      <c r="A28" s="76">
        <v>18.162902769166976</v>
      </c>
      <c r="F28" s="76">
        <v>106</v>
      </c>
      <c r="M28" s="76">
        <v>35</v>
      </c>
    </row>
    <row r="29" spans="1:13">
      <c r="A29" s="76">
        <v>17.363402356626466</v>
      </c>
      <c r="F29" s="76">
        <v>22</v>
      </c>
      <c r="M29" s="76">
        <v>22</v>
      </c>
    </row>
    <row r="30" spans="1:13">
      <c r="A30" s="76">
        <v>27.585668057203293</v>
      </c>
      <c r="F30" s="76">
        <v>15</v>
      </c>
      <c r="M30" s="76">
        <v>15</v>
      </c>
    </row>
    <row r="31" spans="1:13">
      <c r="A31" s="76">
        <v>8.2732392810285091</v>
      </c>
      <c r="F31" s="76">
        <v>40</v>
      </c>
      <c r="M31" s="76">
        <v>40</v>
      </c>
    </row>
    <row r="32" spans="1:13">
      <c r="A32" s="76">
        <v>12.442881405935623</v>
      </c>
      <c r="F32" s="76">
        <v>50</v>
      </c>
      <c r="M32" s="76">
        <v>27</v>
      </c>
    </row>
    <row r="33" spans="1:13">
      <c r="A33" s="76">
        <v>20.074860721128061</v>
      </c>
      <c r="F33" s="76">
        <v>30</v>
      </c>
      <c r="M33" s="76">
        <v>30</v>
      </c>
    </row>
    <row r="34" spans="1:13">
      <c r="A34" s="76">
        <v>11.04619767726399</v>
      </c>
      <c r="F34" s="76">
        <v>58</v>
      </c>
      <c r="M34" s="76">
        <v>27</v>
      </c>
    </row>
    <row r="35" spans="1:13">
      <c r="A35" s="76">
        <v>9.0666551740141585</v>
      </c>
      <c r="F35" s="76">
        <v>43</v>
      </c>
      <c r="M35" s="76">
        <v>43</v>
      </c>
    </row>
    <row r="36" spans="1:13">
      <c r="A36" s="76">
        <v>18.050966708746273</v>
      </c>
      <c r="F36" s="76">
        <v>20</v>
      </c>
      <c r="M36" s="76">
        <v>20</v>
      </c>
    </row>
    <row r="37" spans="1:13">
      <c r="A37" s="76">
        <v>6.7605989999137819</v>
      </c>
      <c r="F37" s="76">
        <v>18</v>
      </c>
      <c r="M37" s="76">
        <v>18</v>
      </c>
    </row>
    <row r="38" spans="1:13">
      <c r="A38" s="76">
        <v>19.003357728128321</v>
      </c>
      <c r="F38" s="76">
        <v>28</v>
      </c>
      <c r="M38" s="76">
        <v>28</v>
      </c>
    </row>
    <row r="39" spans="1:13">
      <c r="A39" s="76">
        <v>18.55416738986969</v>
      </c>
      <c r="F39" s="76">
        <v>16</v>
      </c>
      <c r="M39" s="76">
        <v>16</v>
      </c>
    </row>
    <row r="40" spans="1:13">
      <c r="A40" s="76">
        <v>13.284932528098579</v>
      </c>
      <c r="F40" s="76">
        <v>20</v>
      </c>
      <c r="M40" s="76">
        <v>20</v>
      </c>
    </row>
    <row r="41" spans="1:13">
      <c r="A41" s="76">
        <v>2.0035375099396333</v>
      </c>
      <c r="F41" s="76">
        <v>58</v>
      </c>
      <c r="M41" s="76">
        <v>29</v>
      </c>
    </row>
    <row r="42" spans="1:13">
      <c r="A42" s="76">
        <v>14.651630216452759</v>
      </c>
      <c r="F42" s="76">
        <v>32</v>
      </c>
      <c r="M42" s="76">
        <v>32</v>
      </c>
    </row>
    <row r="43" spans="1:13">
      <c r="A43" s="76">
        <v>35.165942598599941</v>
      </c>
      <c r="F43" s="76">
        <v>16</v>
      </c>
      <c r="M43" s="76">
        <v>16</v>
      </c>
    </row>
    <row r="44" spans="1:13">
      <c r="A44" s="76">
        <v>7.0159538052976131</v>
      </c>
      <c r="F44" s="76">
        <v>35</v>
      </c>
      <c r="M44" s="76">
        <v>35</v>
      </c>
    </row>
    <row r="45" spans="1:13">
      <c r="A45" s="76">
        <v>5.6627348284237087</v>
      </c>
      <c r="F45" s="76">
        <v>40</v>
      </c>
      <c r="M45" s="76">
        <v>40</v>
      </c>
    </row>
    <row r="46" spans="1:13">
      <c r="A46" s="76">
        <v>16.747010512393899</v>
      </c>
      <c r="F46" s="76">
        <v>16</v>
      </c>
      <c r="M46" s="76">
        <v>16</v>
      </c>
    </row>
    <row r="47" spans="1:13">
      <c r="A47" s="76">
        <v>9.0676374282920733</v>
      </c>
      <c r="F47" s="76">
        <v>16</v>
      </c>
      <c r="M47" s="76">
        <v>16</v>
      </c>
    </row>
    <row r="48" spans="1:13">
      <c r="A48" s="76">
        <v>20.772002052457538</v>
      </c>
      <c r="F48" s="76">
        <v>18</v>
      </c>
      <c r="M48" s="76">
        <v>18</v>
      </c>
    </row>
    <row r="49" spans="1:13">
      <c r="A49" s="76">
        <v>5.4368709141854197</v>
      </c>
      <c r="F49" s="76">
        <v>22</v>
      </c>
      <c r="M49" s="76">
        <v>22</v>
      </c>
    </row>
    <row r="50" spans="1:13">
      <c r="A50" s="76">
        <v>20.13022166362498</v>
      </c>
      <c r="F50" s="76">
        <v>22</v>
      </c>
      <c r="M50" s="76">
        <v>22</v>
      </c>
    </row>
    <row r="51" spans="1:13">
      <c r="A51" s="76">
        <v>26.57157236977946</v>
      </c>
      <c r="F51" s="76">
        <v>55</v>
      </c>
      <c r="M51" s="76">
        <v>31</v>
      </c>
    </row>
    <row r="52" spans="1:13">
      <c r="A52" s="76">
        <v>12.041084836586379</v>
      </c>
      <c r="F52" s="76">
        <v>31</v>
      </c>
      <c r="M52" s="76">
        <v>31</v>
      </c>
    </row>
    <row r="53" spans="1:13">
      <c r="A53" s="76">
        <v>1.9637056640349329</v>
      </c>
      <c r="F53" s="76">
        <v>20</v>
      </c>
      <c r="M53" s="76">
        <v>20</v>
      </c>
    </row>
    <row r="54" spans="1:13">
      <c r="A54" s="76">
        <v>20.482237040472683</v>
      </c>
      <c r="F54" s="76">
        <v>15</v>
      </c>
      <c r="M54" s="76">
        <v>15</v>
      </c>
    </row>
    <row r="55" spans="1:13">
      <c r="A55" s="76">
        <v>4.9269990894244984</v>
      </c>
      <c r="F55" s="76">
        <v>21</v>
      </c>
      <c r="M55" s="76">
        <v>21</v>
      </c>
    </row>
    <row r="56" spans="1:13" ht="13.5" thickBot="1">
      <c r="A56" s="76">
        <v>22.191809683921747</v>
      </c>
      <c r="F56" s="252">
        <v>55</v>
      </c>
      <c r="M56" s="252">
        <v>43</v>
      </c>
    </row>
    <row r="57" spans="1:13">
      <c r="A57" s="76">
        <v>30.048616089392453</v>
      </c>
    </row>
    <row r="58" spans="1:13">
      <c r="A58" s="76">
        <v>21.204889698186889</v>
      </c>
    </row>
    <row r="59" spans="1:13">
      <c r="A59" s="76">
        <v>10.756719156110194</v>
      </c>
    </row>
    <row r="60" spans="1:13">
      <c r="A60" s="76">
        <v>17.222339728381485</v>
      </c>
    </row>
    <row r="61" spans="1:13">
      <c r="A61" s="76">
        <v>0.22623024857603014</v>
      </c>
    </row>
    <row r="62" spans="1:13">
      <c r="A62" s="76">
        <v>3.4345455686561763</v>
      </c>
    </row>
    <row r="63" spans="1:13">
      <c r="A63" s="76">
        <v>9.3648239170433953</v>
      </c>
    </row>
    <row r="64" spans="1:13">
      <c r="A64" s="76">
        <v>18.717371666629333</v>
      </c>
    </row>
    <row r="65" spans="1:1">
      <c r="A65" s="76">
        <v>10.089673004462384</v>
      </c>
    </row>
    <row r="66" spans="1:1">
      <c r="A66" s="76">
        <v>28.167871995596215</v>
      </c>
    </row>
    <row r="67" spans="1:1">
      <c r="A67" s="76">
        <v>3.5033579377923161</v>
      </c>
    </row>
    <row r="68" spans="1:1">
      <c r="A68" s="76">
        <v>21.736425686744042</v>
      </c>
    </row>
    <row r="69" spans="1:1">
      <c r="A69" s="76">
        <v>3.5543805905617774</v>
      </c>
    </row>
    <row r="70" spans="1:1">
      <c r="A70" s="76">
        <v>11.783843355136923</v>
      </c>
    </row>
    <row r="71" spans="1:1">
      <c r="A71" s="76">
        <v>23.416380635229871</v>
      </c>
    </row>
    <row r="72" spans="1:1">
      <c r="A72" s="76">
        <v>15.23087374959141</v>
      </c>
    </row>
    <row r="73" spans="1:1">
      <c r="A73" s="76">
        <v>5.969689290272072</v>
      </c>
    </row>
    <row r="74" spans="1:1">
      <c r="A74" s="76">
        <v>6.7577027847291902</v>
      </c>
    </row>
    <row r="75" spans="1:1">
      <c r="A75" s="76">
        <v>33.061299099121243</v>
      </c>
    </row>
    <row r="76" spans="1:1">
      <c r="A76" s="76">
        <v>18.182411430520006</v>
      </c>
    </row>
    <row r="77" spans="1:1">
      <c r="A77" s="76">
        <v>4.549868016387336</v>
      </c>
    </row>
    <row r="78" spans="1:1">
      <c r="A78" s="76">
        <v>20.142772690509446</v>
      </c>
    </row>
    <row r="79" spans="1:1">
      <c r="A79" s="76">
        <v>15.2327154763625</v>
      </c>
    </row>
    <row r="80" spans="1:1">
      <c r="A80" s="76">
        <v>25.512947821756825</v>
      </c>
    </row>
    <row r="81" spans="1:1">
      <c r="A81" s="76">
        <v>31.896236386150122</v>
      </c>
    </row>
    <row r="82" spans="1:1">
      <c r="A82" s="76">
        <v>27.073586160317063</v>
      </c>
    </row>
    <row r="83" spans="1:1">
      <c r="A83" s="76">
        <v>11.936815816501621</v>
      </c>
    </row>
    <row r="84" spans="1:1">
      <c r="A84" s="76">
        <v>37.564716684632003</v>
      </c>
    </row>
    <row r="85" spans="1:1">
      <c r="A85" s="76">
        <v>1.9348383022006601</v>
      </c>
    </row>
    <row r="86" spans="1:1">
      <c r="A86" s="76">
        <v>13.501860656891949</v>
      </c>
    </row>
    <row r="87" spans="1:1">
      <c r="A87" s="76">
        <v>18.035427991766483</v>
      </c>
    </row>
    <row r="88" spans="1:1">
      <c r="A88" s="76">
        <v>3.2344425664050505</v>
      </c>
    </row>
    <row r="89" spans="1:1">
      <c r="A89" s="76">
        <v>12.520865503698587</v>
      </c>
    </row>
    <row r="90" spans="1:1">
      <c r="A90" s="76">
        <v>2.4363882504403591</v>
      </c>
    </row>
    <row r="91" spans="1:1">
      <c r="A91" s="76">
        <v>17.892919266945682</v>
      </c>
    </row>
    <row r="92" spans="1:1">
      <c r="A92" s="76">
        <v>39.581830414012074</v>
      </c>
    </row>
    <row r="93" spans="1:1">
      <c r="A93" s="76">
        <v>20.615414349653292</v>
      </c>
    </row>
    <row r="94" spans="1:1">
      <c r="A94" s="76">
        <v>11.841714503010735</v>
      </c>
    </row>
    <row r="95" spans="1:1">
      <c r="A95" s="76">
        <v>5.4534464551252313</v>
      </c>
    </row>
    <row r="96" spans="1:1">
      <c r="A96" s="76">
        <v>11.993622855574358</v>
      </c>
    </row>
    <row r="97" spans="1:1">
      <c r="A97" s="76">
        <v>29.011682990007102</v>
      </c>
    </row>
    <row r="98" spans="1:1">
      <c r="A98" s="76">
        <v>0.60481144022196531</v>
      </c>
    </row>
    <row r="99" spans="1:1">
      <c r="A99" s="76">
        <v>32.142836779588833</v>
      </c>
    </row>
    <row r="100" spans="1:1">
      <c r="A100" s="76">
        <v>20.893978934385814</v>
      </c>
    </row>
    <row r="101" spans="1:1">
      <c r="A101" s="76">
        <v>2.0688614414539188</v>
      </c>
    </row>
    <row r="102" spans="1:1">
      <c r="A102" s="76">
        <v>28.533816283801571</v>
      </c>
    </row>
    <row r="103" spans="1:1">
      <c r="A103" s="76">
        <v>11.883819034788758</v>
      </c>
    </row>
    <row r="104" spans="1:1">
      <c r="A104" s="76">
        <v>22.967081157607026</v>
      </c>
    </row>
    <row r="105" spans="1:1">
      <c r="A105" s="76">
        <v>13.342858245654497</v>
      </c>
    </row>
    <row r="106" spans="1:1">
      <c r="A106" s="76">
        <v>20.985137588344514</v>
      </c>
    </row>
    <row r="107" spans="1:1">
      <c r="A107" s="76">
        <v>15.624730430194177</v>
      </c>
    </row>
    <row r="108" spans="1:1">
      <c r="A108" s="76">
        <v>36.963686205912381</v>
      </c>
    </row>
    <row r="109" spans="1:1">
      <c r="A109" s="76">
        <v>19.075553417555057</v>
      </c>
    </row>
    <row r="110" spans="1:1">
      <c r="A110" s="76">
        <v>0.10312104574404657</v>
      </c>
    </row>
    <row r="111" spans="1:1">
      <c r="A111" s="76">
        <v>14.520199137099553</v>
      </c>
    </row>
    <row r="112" spans="1:1">
      <c r="A112" s="76">
        <v>10.601250131789129</v>
      </c>
    </row>
    <row r="113" spans="1:1">
      <c r="A113" s="76">
        <v>17.139206839725375</v>
      </c>
    </row>
    <row r="114" spans="1:1">
      <c r="A114" s="76">
        <v>24.172116162721068</v>
      </c>
    </row>
    <row r="115" spans="1:1">
      <c r="A115" s="76">
        <v>36.142739908304065</v>
      </c>
    </row>
    <row r="116" spans="1:1">
      <c r="A116" s="76">
        <v>24.956582627841271</v>
      </c>
    </row>
    <row r="117" spans="1:1">
      <c r="A117" s="76">
        <v>18.903399712929968</v>
      </c>
    </row>
    <row r="118" spans="1:1">
      <c r="A118" s="76">
        <v>0.34792063967324793</v>
      </c>
    </row>
    <row r="119" spans="1:1">
      <c r="A119" s="76">
        <v>21.959260983625427</v>
      </c>
    </row>
    <row r="120" spans="1:1">
      <c r="A120" s="76">
        <v>9.5266230244887993</v>
      </c>
    </row>
    <row r="121" spans="1:1">
      <c r="A121" s="76">
        <v>14.570066206157207</v>
      </c>
    </row>
    <row r="122" spans="1:1">
      <c r="A122" s="76">
        <v>13.783808561915066</v>
      </c>
    </row>
    <row r="123" spans="1:1">
      <c r="A123" s="76">
        <v>15.661796886764932</v>
      </c>
    </row>
    <row r="124" spans="1:1">
      <c r="A124" s="76">
        <v>22.667657311889343</v>
      </c>
    </row>
    <row r="125" spans="1:1">
      <c r="A125" s="76">
        <v>17.74709543393692</v>
      </c>
    </row>
    <row r="126" spans="1:1">
      <c r="A126" s="76">
        <v>5.0515856957063079</v>
      </c>
    </row>
    <row r="127" spans="1:1">
      <c r="A127" s="76">
        <v>25.498405001475476</v>
      </c>
    </row>
    <row r="128" spans="1:1">
      <c r="A128" s="76">
        <v>13.815936462255195</v>
      </c>
    </row>
    <row r="129" spans="1:1">
      <c r="A129" s="76">
        <v>10.969499989063479</v>
      </c>
    </row>
    <row r="130" spans="1:1">
      <c r="A130" s="76">
        <v>31.283527995459735</v>
      </c>
    </row>
    <row r="131" spans="1:1">
      <c r="A131" s="76">
        <v>8.7542710287962109</v>
      </c>
    </row>
    <row r="132" spans="1:1">
      <c r="A132" s="76">
        <v>15.063031049852725</v>
      </c>
    </row>
    <row r="133" spans="1:1">
      <c r="A133" s="76">
        <v>3.8990740096196532</v>
      </c>
    </row>
    <row r="134" spans="1:1">
      <c r="A134" s="76">
        <v>7.6617587081855163</v>
      </c>
    </row>
    <row r="135" spans="1:1">
      <c r="A135" s="76">
        <v>25.216798156965524</v>
      </c>
    </row>
    <row r="136" spans="1:1">
      <c r="A136" s="76">
        <v>37.783213691785932</v>
      </c>
    </row>
    <row r="137" spans="1:1">
      <c r="A137" s="76">
        <v>19.389520083554089</v>
      </c>
    </row>
    <row r="138" spans="1:1">
      <c r="A138" s="76">
        <v>17.228042260161601</v>
      </c>
    </row>
    <row r="139" spans="1:1">
      <c r="A139" s="76">
        <v>24.437570381327532</v>
      </c>
    </row>
    <row r="140" spans="1:1">
      <c r="A140" s="76">
        <v>13.620358721585944</v>
      </c>
    </row>
    <row r="141" spans="1:1">
      <c r="A141" s="76">
        <v>5.5313446763320826</v>
      </c>
    </row>
    <row r="142" spans="1:1">
      <c r="A142" s="76">
        <v>2.5074066696688533</v>
      </c>
    </row>
    <row r="143" spans="1:1">
      <c r="A143" s="76">
        <v>18.114199327887036</v>
      </c>
    </row>
    <row r="144" spans="1:1">
      <c r="A144" s="76">
        <v>15.259481905435678</v>
      </c>
    </row>
    <row r="145" spans="1:1">
      <c r="A145" s="76">
        <v>5.3847022980917245</v>
      </c>
    </row>
    <row r="146" spans="1:1">
      <c r="A146" s="76">
        <v>11.66141627333127</v>
      </c>
    </row>
    <row r="147" spans="1:1">
      <c r="A147" s="76">
        <v>39.865047064144164</v>
      </c>
    </row>
    <row r="148" spans="1:1">
      <c r="A148" s="76">
        <v>18.422245183377527</v>
      </c>
    </row>
    <row r="149" spans="1:1">
      <c r="A149" s="76">
        <v>12.703346520662308</v>
      </c>
    </row>
    <row r="150" spans="1:1">
      <c r="A150" s="76">
        <v>4.8264817349845544</v>
      </c>
    </row>
    <row r="151" spans="1:1">
      <c r="A151" s="76">
        <v>4.037026165984571</v>
      </c>
    </row>
    <row r="152" spans="1:1">
      <c r="A152" s="76">
        <v>9.3173210087697953</v>
      </c>
    </row>
    <row r="153" spans="1:1">
      <c r="A153" s="76">
        <v>27.545668480219319</v>
      </c>
    </row>
    <row r="154" spans="1:1">
      <c r="A154" s="76">
        <v>6.6693817542400211</v>
      </c>
    </row>
    <row r="155" spans="1:1">
      <c r="A155" s="76">
        <v>12.782959664822556</v>
      </c>
    </row>
    <row r="156" spans="1:1">
      <c r="A156" s="76">
        <v>9.4675240587675944</v>
      </c>
    </row>
    <row r="157" spans="1:1">
      <c r="A157" s="76">
        <v>29.919340512482449</v>
      </c>
    </row>
    <row r="158" spans="1:1">
      <c r="A158" s="76">
        <v>3.6997815085342154</v>
      </c>
    </row>
    <row r="159" spans="1:1">
      <c r="A159" s="76">
        <v>14.74468918889761</v>
      </c>
    </row>
    <row r="160" spans="1:1">
      <c r="A160" s="76">
        <v>12.29093212611042</v>
      </c>
    </row>
    <row r="161" spans="1:1">
      <c r="A161" s="76">
        <v>8.0749330562539399</v>
      </c>
    </row>
    <row r="162" spans="1:1">
      <c r="A162" s="76">
        <v>7.9678946248022839</v>
      </c>
    </row>
    <row r="163" spans="1:1">
      <c r="A163" s="76">
        <v>19.281090125208721</v>
      </c>
    </row>
    <row r="164" spans="1:1">
      <c r="A164" s="76">
        <v>16.237629814771935</v>
      </c>
    </row>
    <row r="165" spans="1:1">
      <c r="A165" s="76">
        <v>5.4262161837541498</v>
      </c>
    </row>
    <row r="166" spans="1:1">
      <c r="A166" s="76">
        <v>16.239498826384079</v>
      </c>
    </row>
    <row r="167" spans="1:1">
      <c r="A167" s="76">
        <v>21.179623935371637</v>
      </c>
    </row>
    <row r="168" spans="1:1">
      <c r="A168" s="76">
        <v>27.136941561242566</v>
      </c>
    </row>
    <row r="169" spans="1:1">
      <c r="A169" s="76">
        <v>34.171137293800712</v>
      </c>
    </row>
    <row r="170" spans="1:1">
      <c r="A170" s="76">
        <v>25.575648386497051</v>
      </c>
    </row>
    <row r="171" spans="1:1">
      <c r="A171" s="76">
        <v>6.0498930805479176</v>
      </c>
    </row>
    <row r="172" spans="1:1">
      <c r="A172" s="76">
        <v>23.578343451721594</v>
      </c>
    </row>
    <row r="173" spans="1:1">
      <c r="A173" s="76">
        <v>10.25290456606308</v>
      </c>
    </row>
    <row r="174" spans="1:1">
      <c r="A174" s="76">
        <v>23.433870218344964</v>
      </c>
    </row>
    <row r="175" spans="1:1">
      <c r="A175" s="76">
        <v>7.2613536657299846</v>
      </c>
    </row>
    <row r="176" spans="1:1">
      <c r="A176" s="76">
        <v>9.5039766064146534</v>
      </c>
    </row>
    <row r="177" spans="1:1">
      <c r="A177" s="76">
        <v>19.907440936425701</v>
      </c>
    </row>
    <row r="178" spans="1:1">
      <c r="A178" s="76">
        <v>23.673321983427741</v>
      </c>
    </row>
    <row r="179" spans="1:1">
      <c r="A179" s="76">
        <v>15.159837665909436</v>
      </c>
    </row>
    <row r="180" spans="1:1">
      <c r="A180" s="76">
        <v>14.92026311904192</v>
      </c>
    </row>
    <row r="181" spans="1:1">
      <c r="A181" s="76">
        <v>1.9990082263248041</v>
      </c>
    </row>
    <row r="182" spans="1:1">
      <c r="A182" s="76">
        <v>14.95969373639673</v>
      </c>
    </row>
    <row r="183" spans="1:1">
      <c r="A183" s="76">
        <v>8.5280781728215516E-2</v>
      </c>
    </row>
    <row r="184" spans="1:1">
      <c r="A184" s="76">
        <v>21.007975000306033</v>
      </c>
    </row>
    <row r="185" spans="1:1">
      <c r="A185" s="76">
        <v>26.760656318278052</v>
      </c>
    </row>
    <row r="186" spans="1:1">
      <c r="A186" s="76">
        <v>29.220739442156628</v>
      </c>
    </row>
    <row r="187" spans="1:1">
      <c r="A187" s="76">
        <v>1.7913433010689914</v>
      </c>
    </row>
    <row r="188" spans="1:1">
      <c r="A188" s="76">
        <v>15.688686097622849</v>
      </c>
    </row>
    <row r="189" spans="1:1">
      <c r="A189" s="76">
        <v>10.587866917252541</v>
      </c>
    </row>
    <row r="190" spans="1:1">
      <c r="A190" s="76">
        <v>17.842633304884657</v>
      </c>
    </row>
    <row r="191" spans="1:1">
      <c r="A191" s="76">
        <v>19.661017894453835</v>
      </c>
    </row>
    <row r="192" spans="1:1">
      <c r="A192" s="76">
        <v>24.012608981924132</v>
      </c>
    </row>
    <row r="193" spans="1:1">
      <c r="A193" s="76">
        <v>8.663221514201723</v>
      </c>
    </row>
    <row r="194" spans="1:1">
      <c r="A194" s="76">
        <v>11.026334312977269</v>
      </c>
    </row>
    <row r="195" spans="1:1">
      <c r="A195" s="76">
        <v>23.003533705254085</v>
      </c>
    </row>
    <row r="196" spans="1:1">
      <c r="A196" s="76">
        <v>17.620070856413804</v>
      </c>
    </row>
    <row r="197" spans="1:1">
      <c r="A197" s="76">
        <v>13.782894519739784</v>
      </c>
    </row>
    <row r="198" spans="1:1">
      <c r="A198" s="76">
        <v>7.0626654531806707</v>
      </c>
    </row>
    <row r="199" spans="1:1">
      <c r="A199" s="76">
        <v>6.2850201983237639</v>
      </c>
    </row>
    <row r="200" spans="1:1">
      <c r="A200" s="76">
        <v>5.6582368516828865</v>
      </c>
    </row>
    <row r="201" spans="1:1">
      <c r="A201" s="76">
        <v>20.878835847601295</v>
      </c>
    </row>
    <row r="202" spans="1:1">
      <c r="A202" s="76">
        <v>12.684188540210016</v>
      </c>
    </row>
    <row r="203" spans="1:1">
      <c r="A203" s="76">
        <v>36.810891096014529</v>
      </c>
    </row>
    <row r="204" spans="1:1">
      <c r="A204" s="76">
        <v>28.397146514966153</v>
      </c>
    </row>
    <row r="205" spans="1:1">
      <c r="A205" s="76">
        <v>7.3471508484217338</v>
      </c>
    </row>
    <row r="206" spans="1:1">
      <c r="A206" s="76">
        <v>16.302117536601145</v>
      </c>
    </row>
    <row r="207" spans="1:1">
      <c r="A207" s="76">
        <v>29.625373634975404</v>
      </c>
    </row>
    <row r="208" spans="1:1">
      <c r="A208" s="76">
        <v>23.843265615927521</v>
      </c>
    </row>
    <row r="209" spans="1:1">
      <c r="A209" s="76">
        <v>20.459945325332228</v>
      </c>
    </row>
    <row r="210" spans="1:1">
      <c r="A210" s="76">
        <v>0.14071955671533942</v>
      </c>
    </row>
    <row r="211" spans="1:1">
      <c r="A211" s="76">
        <v>4.6048469711095095</v>
      </c>
    </row>
    <row r="212" spans="1:1">
      <c r="A212" s="76">
        <v>36.285275917965919</v>
      </c>
    </row>
    <row r="213" spans="1:1">
      <c r="A213" s="76">
        <v>28.09259311913047</v>
      </c>
    </row>
    <row r="214" spans="1:1">
      <c r="A214" s="76">
        <v>10.372234818409197</v>
      </c>
    </row>
    <row r="215" spans="1:1">
      <c r="A215" s="76">
        <v>13.027254489192273</v>
      </c>
    </row>
    <row r="216" spans="1:1">
      <c r="A216" s="76">
        <v>6.7729317480698228</v>
      </c>
    </row>
    <row r="217" spans="1:1">
      <c r="A217" s="76">
        <v>14.120708136819303</v>
      </c>
    </row>
    <row r="218" spans="1:1">
      <c r="A218" s="76">
        <v>14.461799956858158</v>
      </c>
    </row>
    <row r="219" spans="1:1">
      <c r="A219" s="76">
        <v>39.959452614188194</v>
      </c>
    </row>
    <row r="220" spans="1:1">
      <c r="A220" s="76">
        <v>16.712140485527925</v>
      </c>
    </row>
    <row r="221" spans="1:1">
      <c r="A221" s="76">
        <v>19.228553163760807</v>
      </c>
    </row>
    <row r="222" spans="1:1">
      <c r="A222" s="76">
        <v>23.377718015457503</v>
      </c>
    </row>
    <row r="223" spans="1:1">
      <c r="A223" s="76">
        <v>23.804753062780946</v>
      </c>
    </row>
    <row r="224" spans="1:1">
      <c r="A224" s="76">
        <v>38.572291295044124</v>
      </c>
    </row>
    <row r="225" spans="1:1">
      <c r="A225" s="76">
        <v>12.081070771149825</v>
      </c>
    </row>
    <row r="226" spans="1:1">
      <c r="A226" s="76">
        <v>14.233640093938448</v>
      </c>
    </row>
    <row r="227" spans="1:1">
      <c r="A227" s="76">
        <v>44.07313353009522</v>
      </c>
    </row>
    <row r="228" spans="1:1">
      <c r="A228" s="76">
        <v>27.002372725168243</v>
      </c>
    </row>
    <row r="229" spans="1:1">
      <c r="A229" s="76">
        <v>14.265781636699103</v>
      </c>
    </row>
    <row r="230" spans="1:1">
      <c r="A230" s="76">
        <v>18.504890966927633</v>
      </c>
    </row>
    <row r="231" spans="1:1">
      <c r="A231" s="76">
        <v>16.635419534519315</v>
      </c>
    </row>
    <row r="232" spans="1:1">
      <c r="A232" s="76">
        <v>4.4003511094488204</v>
      </c>
    </row>
    <row r="233" spans="1:1">
      <c r="A233" s="76">
        <v>18.356488716439344</v>
      </c>
    </row>
    <row r="234" spans="1:1">
      <c r="A234" s="76">
        <v>19.961383067187853</v>
      </c>
    </row>
    <row r="235" spans="1:1">
      <c r="A235" s="76">
        <v>16.142433004337363</v>
      </c>
    </row>
    <row r="236" spans="1:1">
      <c r="A236" s="76">
        <v>3.7857560426928103</v>
      </c>
    </row>
    <row r="237" spans="1:1">
      <c r="A237" s="76">
        <v>36.980930225457996</v>
      </c>
    </row>
    <row r="238" spans="1:1">
      <c r="A238" s="76">
        <v>24.487228792044334</v>
      </c>
    </row>
    <row r="239" spans="1:1">
      <c r="A239" s="76">
        <v>32.800074030878022</v>
      </c>
    </row>
    <row r="240" spans="1:1">
      <c r="A240" s="76">
        <v>21.611406545038335</v>
      </c>
    </row>
    <row r="241" spans="1:1">
      <c r="A241" s="76">
        <v>30.006079022190534</v>
      </c>
    </row>
    <row r="242" spans="1:1">
      <c r="A242" s="76">
        <v>24.207641025772318</v>
      </c>
    </row>
    <row r="243" spans="1:1">
      <c r="A243" s="76">
        <v>0.92142071377020329</v>
      </c>
    </row>
    <row r="244" spans="1:1">
      <c r="A244" s="76">
        <v>26.53348273166921</v>
      </c>
    </row>
    <row r="245" spans="1:1">
      <c r="A245" s="76">
        <v>21.807748261257075</v>
      </c>
    </row>
    <row r="246" spans="1:1">
      <c r="A246" s="76">
        <v>29.051928130560555</v>
      </c>
    </row>
    <row r="247" spans="1:1">
      <c r="A247" s="76">
        <v>20.287655196501873</v>
      </c>
    </row>
    <row r="248" spans="1:1">
      <c r="A248" s="76">
        <v>23.640334610594437</v>
      </c>
    </row>
    <row r="249" spans="1:1">
      <c r="A249" s="76">
        <v>18.097651071788277</v>
      </c>
    </row>
    <row r="250" spans="1:1">
      <c r="A250" s="76">
        <v>10.820470187230967</v>
      </c>
    </row>
    <row r="251" spans="1:1">
      <c r="A251" s="76">
        <v>25.285201253485866</v>
      </c>
    </row>
    <row r="252" spans="1:1">
      <c r="A252" s="76">
        <v>3.3172520590014756</v>
      </c>
    </row>
    <row r="253" spans="1:1">
      <c r="A253" s="76">
        <v>0.7572751099942252</v>
      </c>
    </row>
    <row r="254" spans="1:1">
      <c r="A254" s="76">
        <v>22.429842637269758</v>
      </c>
    </row>
    <row r="255" spans="1:1">
      <c r="A255" s="76">
        <v>8.2866088531445712</v>
      </c>
    </row>
    <row r="256" spans="1:1">
      <c r="A256" s="76">
        <v>8.2866088531445712</v>
      </c>
    </row>
    <row r="257" spans="1:1">
      <c r="A257" s="76">
        <v>29.396781236631796</v>
      </c>
    </row>
    <row r="258" spans="1:1">
      <c r="A258" s="76">
        <v>2.8740916706155986</v>
      </c>
    </row>
    <row r="259" spans="1:1">
      <c r="A259" s="76">
        <v>4.5486129136988893</v>
      </c>
    </row>
    <row r="260" spans="1:1">
      <c r="A260" s="76">
        <v>29.268051356542856</v>
      </c>
    </row>
    <row r="261" spans="1:1">
      <c r="A261" s="76">
        <v>21.794160410412587</v>
      </c>
    </row>
    <row r="262" spans="1:1">
      <c r="A262" s="76">
        <v>15.485877874074504</v>
      </c>
    </row>
    <row r="263" spans="1:1">
      <c r="A263" s="76">
        <v>16.039896571659483</v>
      </c>
    </row>
    <row r="264" spans="1:1">
      <c r="A264" s="76">
        <v>8.6784191706683487</v>
      </c>
    </row>
    <row r="265" spans="1:1">
      <c r="A265" s="76">
        <v>19.905367288505659</v>
      </c>
    </row>
    <row r="266" spans="1:1">
      <c r="A266" s="76">
        <v>29.657569747418165</v>
      </c>
    </row>
    <row r="267" spans="1:1">
      <c r="A267" s="76">
        <v>3.6519238973269239</v>
      </c>
    </row>
    <row r="268" spans="1:1">
      <c r="A268" s="76">
        <v>15.493272065999918</v>
      </c>
    </row>
    <row r="269" spans="1:1">
      <c r="A269" s="76">
        <v>3.9769954936346039</v>
      </c>
    </row>
    <row r="270" spans="1:1">
      <c r="A270" s="76">
        <v>11.04619767726399</v>
      </c>
    </row>
    <row r="271" spans="1:1">
      <c r="A271" s="76">
        <v>28.73272277507931</v>
      </c>
    </row>
    <row r="272" spans="1:1">
      <c r="A272" s="76">
        <v>35.70438165194355</v>
      </c>
    </row>
    <row r="273" spans="1:1">
      <c r="A273" s="76">
        <v>4.1734327067970298</v>
      </c>
    </row>
    <row r="274" spans="1:1">
      <c r="A274" s="76">
        <v>9.6533065414987504</v>
      </c>
    </row>
    <row r="275" spans="1:1">
      <c r="A275" s="76">
        <v>33.89381416933611</v>
      </c>
    </row>
    <row r="276" spans="1:1">
      <c r="A276" s="76">
        <v>13.463266249222215</v>
      </c>
    </row>
    <row r="277" spans="1:1">
      <c r="A277" s="76">
        <v>1.86859070812352</v>
      </c>
    </row>
    <row r="278" spans="1:1">
      <c r="A278" s="76">
        <v>22.435708878096193</v>
      </c>
    </row>
    <row r="279" spans="1:1">
      <c r="A279" s="76">
        <v>12.158205016807187</v>
      </c>
    </row>
    <row r="280" spans="1:1">
      <c r="A280" s="76">
        <v>9.2310190565185621</v>
      </c>
    </row>
    <row r="281" spans="1:1">
      <c r="A281" s="76">
        <v>9.2399548419634812</v>
      </c>
    </row>
    <row r="282" spans="1:1">
      <c r="A282" s="76">
        <v>16.830560717731714</v>
      </c>
    </row>
    <row r="283" spans="1:1">
      <c r="A283" s="76">
        <v>2.2921605806332082</v>
      </c>
    </row>
    <row r="284" spans="1:1">
      <c r="A284" s="76">
        <v>7.1659425985999405</v>
      </c>
    </row>
    <row r="285" spans="1:1">
      <c r="A285" s="76">
        <v>34.289007807150483</v>
      </c>
    </row>
    <row r="286" spans="1:1">
      <c r="A286" s="76">
        <v>7.779656506376341</v>
      </c>
    </row>
    <row r="287" spans="1:1">
      <c r="A287" s="76">
        <v>6.2205734037561342</v>
      </c>
    </row>
    <row r="288" spans="1:1">
      <c r="A288" s="76">
        <v>6.4127718461677432</v>
      </c>
    </row>
    <row r="289" spans="1:1">
      <c r="A289" s="76">
        <v>6.4926851235795766</v>
      </c>
    </row>
    <row r="290" spans="1:1">
      <c r="A290" s="76">
        <v>21.350536179728806</v>
      </c>
    </row>
    <row r="291" spans="1:1">
      <c r="A291" s="76">
        <v>26.614545994438231</v>
      </c>
    </row>
    <row r="292" spans="1:1">
      <c r="A292" s="76">
        <v>21.559851837868337</v>
      </c>
    </row>
    <row r="293" spans="1:1">
      <c r="A293" s="76">
        <v>11.875302142347209</v>
      </c>
    </row>
    <row r="294" spans="1:1">
      <c r="A294" s="76">
        <v>14.837426341604441</v>
      </c>
    </row>
    <row r="295" spans="1:1">
      <c r="A295" s="76">
        <v>16.562619556556456</v>
      </c>
    </row>
    <row r="296" spans="1:1">
      <c r="A296" s="76">
        <v>3.254820320638828</v>
      </c>
    </row>
    <row r="297" spans="1:1">
      <c r="A297" s="76">
        <v>1.4408189700916409</v>
      </c>
    </row>
    <row r="298" spans="1:1">
      <c r="A298" s="76">
        <v>17.75963281840086</v>
      </c>
    </row>
    <row r="299" spans="1:1">
      <c r="A299" s="76">
        <v>14.440268195234239</v>
      </c>
    </row>
    <row r="300" spans="1:1">
      <c r="A300" s="76">
        <v>2.6460409470601007</v>
      </c>
    </row>
    <row r="301" spans="1:1" ht="13.5" thickBot="1">
      <c r="A301" s="252">
        <v>15.089756551664323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/>
  <dimension ref="A1:A151"/>
  <sheetViews>
    <sheetView showGridLines="0" workbookViewId="0">
      <pane ySplit="1" topLeftCell="A2" activePane="bottomLeft" state="frozen"/>
      <selection pane="bottomLeft" sqref="A1:A151"/>
    </sheetView>
  </sheetViews>
  <sheetFormatPr defaultRowHeight="12.75"/>
  <cols>
    <col min="1" max="1" width="15.5" style="23" customWidth="1"/>
    <col min="2" max="16384" width="9.33203125" style="23"/>
  </cols>
  <sheetData>
    <row r="1" spans="1:1" ht="39" thickBot="1">
      <c r="A1" s="259" t="s">
        <v>103</v>
      </c>
    </row>
    <row r="2" spans="1:1">
      <c r="A2" s="258">
        <v>17.376173723750981</v>
      </c>
    </row>
    <row r="3" spans="1:1">
      <c r="A3" s="256">
        <v>26.225691322470084</v>
      </c>
    </row>
    <row r="4" spans="1:1">
      <c r="A4" s="256">
        <v>17.541431184799876</v>
      </c>
    </row>
    <row r="5" spans="1:1">
      <c r="A5" s="256">
        <v>22.546316864027176</v>
      </c>
    </row>
    <row r="6" spans="1:1">
      <c r="A6" s="256">
        <v>20.196471319213742</v>
      </c>
    </row>
    <row r="7" spans="1:1">
      <c r="A7" s="256">
        <v>18.784371655347059</v>
      </c>
    </row>
    <row r="8" spans="1:1">
      <c r="A8" s="256">
        <v>23.206773726560641</v>
      </c>
    </row>
    <row r="9" spans="1:1">
      <c r="A9" s="256">
        <v>16.566734807856847</v>
      </c>
    </row>
    <row r="10" spans="1:1">
      <c r="A10" s="256">
        <v>18.078021690162132</v>
      </c>
    </row>
    <row r="11" spans="1:1">
      <c r="A11" s="256">
        <v>19.184183252509683</v>
      </c>
    </row>
    <row r="12" spans="1:1">
      <c r="A12" s="256">
        <v>22.66307552010403</v>
      </c>
    </row>
    <row r="13" spans="1:1">
      <c r="A13" s="256">
        <v>18.731364030390978</v>
      </c>
    </row>
    <row r="14" spans="1:1">
      <c r="A14" s="256">
        <v>17.752158833463909</v>
      </c>
    </row>
    <row r="15" spans="1:1">
      <c r="A15" s="256">
        <v>17.887249492123374</v>
      </c>
    </row>
    <row r="16" spans="1:1">
      <c r="A16" s="256">
        <v>19.489793935936177</v>
      </c>
    </row>
    <row r="17" spans="1:1">
      <c r="A17" s="256">
        <v>22.375384156039217</v>
      </c>
    </row>
    <row r="18" spans="1:1">
      <c r="A18" s="256">
        <v>20.408962250730838</v>
      </c>
    </row>
    <row r="19" spans="1:1">
      <c r="A19" s="256">
        <v>19.393116922874469</v>
      </c>
    </row>
    <row r="20" spans="1:1">
      <c r="A20" s="256">
        <v>23.016182290593861</v>
      </c>
    </row>
    <row r="21" spans="1:1">
      <c r="A21" s="256">
        <v>19.370845671364805</v>
      </c>
    </row>
    <row r="22" spans="1:1">
      <c r="A22" s="256">
        <v>25.264500941848382</v>
      </c>
    </row>
    <row r="23" spans="1:1">
      <c r="A23" s="256">
        <v>21.13928194878099</v>
      </c>
    </row>
    <row r="24" spans="1:1">
      <c r="A24" s="256">
        <v>22.335718818358146</v>
      </c>
    </row>
    <row r="25" spans="1:1">
      <c r="A25" s="256">
        <v>22.985152605106123</v>
      </c>
    </row>
    <row r="26" spans="1:1">
      <c r="A26" s="256">
        <v>21.029521854434279</v>
      </c>
    </row>
    <row r="27" spans="1:1">
      <c r="A27" s="256">
        <v>22.50120137934573</v>
      </c>
    </row>
    <row r="28" spans="1:1">
      <c r="A28" s="256">
        <v>22.6525435714575</v>
      </c>
    </row>
    <row r="29" spans="1:1">
      <c r="A29" s="256">
        <v>18.681494162156014</v>
      </c>
    </row>
    <row r="30" spans="1:1">
      <c r="A30" s="256">
        <v>19.027980948085315</v>
      </c>
    </row>
    <row r="31" spans="1:1">
      <c r="A31" s="256">
        <v>16.377507613942726</v>
      </c>
    </row>
    <row r="32" spans="1:1">
      <c r="A32" s="256">
        <v>22.457286427670624</v>
      </c>
    </row>
    <row r="33" spans="1:1">
      <c r="A33" s="256">
        <v>13.828632796066813</v>
      </c>
    </row>
    <row r="34" spans="1:1">
      <c r="A34" s="256">
        <v>16.563201420940459</v>
      </c>
    </row>
    <row r="35" spans="1:1">
      <c r="A35" s="256">
        <v>17.501076904882211</v>
      </c>
    </row>
    <row r="36" spans="1:1">
      <c r="A36" s="256">
        <v>14.747217897383962</v>
      </c>
    </row>
    <row r="37" spans="1:1">
      <c r="A37" s="256">
        <v>15.620019035413861</v>
      </c>
    </row>
    <row r="38" spans="1:1">
      <c r="A38" s="256">
        <v>20.794404968473827</v>
      </c>
    </row>
    <row r="39" spans="1:1">
      <c r="A39" s="256">
        <v>22.885153662646189</v>
      </c>
    </row>
    <row r="40" spans="1:1">
      <c r="A40" s="256">
        <v>14.922945916187018</v>
      </c>
    </row>
    <row r="41" spans="1:1">
      <c r="A41" s="256">
        <v>16.346873558650259</v>
      </c>
    </row>
    <row r="42" spans="1:1">
      <c r="A42" s="256">
        <v>16.329956957197282</v>
      </c>
    </row>
    <row r="43" spans="1:1">
      <c r="A43" s="256">
        <v>15.484331520856358</v>
      </c>
    </row>
    <row r="44" spans="1:1">
      <c r="A44" s="256">
        <v>17.510803950717673</v>
      </c>
    </row>
    <row r="45" spans="1:1">
      <c r="A45" s="256">
        <v>21.552725734654814</v>
      </c>
    </row>
    <row r="46" spans="1:1">
      <c r="A46" s="256">
        <v>17.926768173783785</v>
      </c>
    </row>
    <row r="47" spans="1:1">
      <c r="A47" s="256">
        <v>22.226323658760521</v>
      </c>
    </row>
    <row r="48" spans="1:1">
      <c r="A48" s="256">
        <v>19.374365415860666</v>
      </c>
    </row>
    <row r="49" spans="1:1">
      <c r="A49" s="256">
        <v>16.456190274329856</v>
      </c>
    </row>
    <row r="50" spans="1:1">
      <c r="A50" s="256">
        <v>21.115145096264314</v>
      </c>
    </row>
    <row r="51" spans="1:1">
      <c r="A51" s="256">
        <v>13.776273186085746</v>
      </c>
    </row>
    <row r="52" spans="1:1">
      <c r="A52" s="256">
        <v>12.895955074345693</v>
      </c>
    </row>
    <row r="53" spans="1:1">
      <c r="A53" s="256">
        <v>18.357623098854674</v>
      </c>
    </row>
    <row r="54" spans="1:1">
      <c r="A54" s="256">
        <v>19.365917346949573</v>
      </c>
    </row>
    <row r="55" spans="1:1">
      <c r="A55" s="256">
        <v>19.44829710329941</v>
      </c>
    </row>
    <row r="56" spans="1:1">
      <c r="A56" s="256">
        <v>22.880781266867416</v>
      </c>
    </row>
    <row r="57" spans="1:1">
      <c r="A57" s="256">
        <v>14.94016265089158</v>
      </c>
    </row>
    <row r="58" spans="1:1">
      <c r="A58" s="256">
        <v>19.287545051629422</v>
      </c>
    </row>
    <row r="59" spans="1:1">
      <c r="A59" s="256">
        <v>25.104175215819851</v>
      </c>
    </row>
    <row r="60" spans="1:1">
      <c r="A60" s="256">
        <v>27.980161171872169</v>
      </c>
    </row>
    <row r="61" spans="1:1">
      <c r="A61" s="256">
        <v>20.52511722969939</v>
      </c>
    </row>
    <row r="62" spans="1:1">
      <c r="A62" s="256">
        <v>26.213876986294053</v>
      </c>
    </row>
    <row r="63" spans="1:1">
      <c r="A63" s="256">
        <v>17.508859905792633</v>
      </c>
    </row>
    <row r="64" spans="1:1">
      <c r="A64" s="256">
        <v>16.377507613942726</v>
      </c>
    </row>
    <row r="65" spans="1:1">
      <c r="A65" s="256">
        <v>18.508095586657873</v>
      </c>
    </row>
    <row r="66" spans="1:1">
      <c r="A66" s="256">
        <v>19.70681074046297</v>
      </c>
    </row>
    <row r="67" spans="1:1">
      <c r="A67" s="256">
        <v>21.80094957613619</v>
      </c>
    </row>
    <row r="68" spans="1:1">
      <c r="A68" s="256">
        <v>19.713959368818905</v>
      </c>
    </row>
    <row r="69" spans="1:1">
      <c r="A69" s="256">
        <v>16.071037458023056</v>
      </c>
    </row>
    <row r="70" spans="1:1">
      <c r="A70" s="256">
        <v>23.400339210202219</v>
      </c>
    </row>
    <row r="71" spans="1:1">
      <c r="A71" s="256">
        <v>19.34172592475079</v>
      </c>
    </row>
    <row r="72" spans="1:1">
      <c r="A72" s="256">
        <v>26.323862180579454</v>
      </c>
    </row>
    <row r="73" spans="1:1">
      <c r="A73" s="256">
        <v>22.247234078822657</v>
      </c>
    </row>
    <row r="74" spans="1:1">
      <c r="A74" s="256">
        <v>17.027998688281514</v>
      </c>
    </row>
    <row r="75" spans="1:1">
      <c r="A75" s="256">
        <v>19.639168208886986</v>
      </c>
    </row>
    <row r="76" spans="1:1">
      <c r="A76" s="256">
        <v>20.095831182989059</v>
      </c>
    </row>
    <row r="77" spans="1:1">
      <c r="A77" s="256">
        <v>20.847476151946466</v>
      </c>
    </row>
    <row r="78" spans="1:1">
      <c r="A78" s="256">
        <v>21.027828951308038</v>
      </c>
    </row>
    <row r="79" spans="1:1">
      <c r="A79" s="256">
        <v>19.025508153252304</v>
      </c>
    </row>
    <row r="80" spans="1:1">
      <c r="A80" s="256">
        <v>21.186783045639459</v>
      </c>
    </row>
    <row r="81" spans="1:1">
      <c r="A81" s="256">
        <v>25.866579507099232</v>
      </c>
    </row>
    <row r="82" spans="1:1">
      <c r="A82" s="256">
        <v>19.790154455084121</v>
      </c>
    </row>
    <row r="83" spans="1:1">
      <c r="A83" s="256">
        <v>22.864434130358859</v>
      </c>
    </row>
    <row r="84" spans="1:1">
      <c r="A84" s="256">
        <v>20.915665517211892</v>
      </c>
    </row>
    <row r="85" spans="1:1">
      <c r="A85" s="256">
        <v>25.879909288822091</v>
      </c>
    </row>
    <row r="86" spans="1:1">
      <c r="A86" s="256">
        <v>23.289139734377386</v>
      </c>
    </row>
    <row r="87" spans="1:1">
      <c r="A87" s="256">
        <v>21.628018715862709</v>
      </c>
    </row>
    <row r="88" spans="1:1">
      <c r="A88" s="256">
        <v>25.095725903927814</v>
      </c>
    </row>
    <row r="89" spans="1:1">
      <c r="A89" s="256">
        <v>22.9559150865025</v>
      </c>
    </row>
    <row r="90" spans="1:1">
      <c r="A90" s="256">
        <v>26.446859864197904</v>
      </c>
    </row>
    <row r="91" spans="1:1">
      <c r="A91" s="256">
        <v>20.625900505227037</v>
      </c>
    </row>
    <row r="92" spans="1:1">
      <c r="A92" s="256">
        <v>21.046308746779687</v>
      </c>
    </row>
    <row r="93" spans="1:1">
      <c r="A93" s="256">
        <v>28.965193849988282</v>
      </c>
    </row>
    <row r="94" spans="1:1">
      <c r="A94" s="256">
        <v>22.29929117570282</v>
      </c>
    </row>
    <row r="95" spans="1:1">
      <c r="A95" s="256">
        <v>20.485247149597853</v>
      </c>
    </row>
    <row r="96" spans="1:1">
      <c r="A96" s="256">
        <v>19.717281192104565</v>
      </c>
    </row>
    <row r="97" spans="1:1">
      <c r="A97" s="256">
        <v>24.188791998174565</v>
      </c>
    </row>
    <row r="98" spans="1:1">
      <c r="A98" s="256">
        <v>25.655104935911368</v>
      </c>
    </row>
    <row r="99" spans="1:1">
      <c r="A99" s="256">
        <v>23.691565560373419</v>
      </c>
    </row>
    <row r="100" spans="1:1">
      <c r="A100" s="256">
        <v>24.897853962873342</v>
      </c>
    </row>
    <row r="101" spans="1:1">
      <c r="A101" s="256">
        <v>24.801049620553385</v>
      </c>
    </row>
    <row r="102" spans="1:1">
      <c r="A102" s="256">
        <v>23.146673073686543</v>
      </c>
    </row>
    <row r="103" spans="1:1">
      <c r="A103" s="256">
        <v>29.718346412526444</v>
      </c>
    </row>
    <row r="104" spans="1:1">
      <c r="A104" s="256">
        <v>19.17648427374661</v>
      </c>
    </row>
    <row r="105" spans="1:1">
      <c r="A105" s="256">
        <v>24.299844143431983</v>
      </c>
    </row>
    <row r="106" spans="1:1">
      <c r="A106" s="256">
        <v>26.330876552354312</v>
      </c>
    </row>
    <row r="107" spans="1:1">
      <c r="A107" s="256">
        <v>23.388934040529421</v>
      </c>
    </row>
    <row r="108" spans="1:1">
      <c r="A108" s="256">
        <v>22.063328459669719</v>
      </c>
    </row>
    <row r="109" spans="1:1">
      <c r="A109" s="256">
        <v>22.450457721650309</v>
      </c>
    </row>
    <row r="110" spans="1:1">
      <c r="A110" s="256">
        <v>22.081768464748166</v>
      </c>
    </row>
    <row r="111" spans="1:1">
      <c r="A111" s="256">
        <v>22.246219317683426</v>
      </c>
    </row>
    <row r="112" spans="1:1">
      <c r="A112" s="256">
        <v>23.534271293872735</v>
      </c>
    </row>
    <row r="113" spans="1:1">
      <c r="A113" s="256">
        <v>19.892125864178524</v>
      </c>
    </row>
    <row r="114" spans="1:1">
      <c r="A114" s="256">
        <v>24.703972429822898</v>
      </c>
    </row>
    <row r="115" spans="1:1">
      <c r="A115" s="256">
        <v>25.6886198156717</v>
      </c>
    </row>
    <row r="116" spans="1:1">
      <c r="A116" s="256">
        <v>25.856643277482362</v>
      </c>
    </row>
    <row r="117" spans="1:1">
      <c r="A117" s="256">
        <v>26.871014087053481</v>
      </c>
    </row>
    <row r="118" spans="1:1">
      <c r="A118" s="256">
        <v>23.475517936138203</v>
      </c>
    </row>
    <row r="119" spans="1:1">
      <c r="A119" s="256">
        <v>20.718538224944496</v>
      </c>
    </row>
    <row r="120" spans="1:1">
      <c r="A120" s="256">
        <v>21.525009914374095</v>
      </c>
    </row>
    <row r="121" spans="1:1">
      <c r="A121" s="256">
        <v>22.268803207996825</v>
      </c>
    </row>
    <row r="122" spans="1:1">
      <c r="A122" s="256">
        <v>27.388880370242987</v>
      </c>
    </row>
    <row r="123" spans="1:1">
      <c r="A123" s="256">
        <v>24.826677475946781</v>
      </c>
    </row>
    <row r="124" spans="1:1">
      <c r="A124" s="256">
        <v>23.425757207267452</v>
      </c>
    </row>
    <row r="125" spans="1:1">
      <c r="A125" s="256">
        <v>23.237599806496291</v>
      </c>
    </row>
    <row r="126" spans="1:1">
      <c r="A126" s="256">
        <v>26.376021595613565</v>
      </c>
    </row>
    <row r="127" spans="1:1">
      <c r="A127" s="256">
        <v>21.306384441093542</v>
      </c>
    </row>
    <row r="128" spans="1:1">
      <c r="A128" s="256">
        <v>22.524871441280993</v>
      </c>
    </row>
    <row r="129" spans="1:1">
      <c r="A129" s="256">
        <v>20.318866462592268</v>
      </c>
    </row>
    <row r="130" spans="1:1">
      <c r="A130" s="256">
        <v>21.930871925040265</v>
      </c>
    </row>
    <row r="131" spans="1:1">
      <c r="A131" s="256">
        <v>29.871960067655891</v>
      </c>
    </row>
    <row r="132" spans="1:1">
      <c r="A132" s="256">
        <v>27.658954821934458</v>
      </c>
    </row>
    <row r="133" spans="1:1">
      <c r="A133" s="256">
        <v>23.841927771944029</v>
      </c>
    </row>
    <row r="134" spans="1:1">
      <c r="A134" s="256">
        <v>18.549069353728555</v>
      </c>
    </row>
    <row r="135" spans="1:1">
      <c r="A135" s="256">
        <v>24.645807401473576</v>
      </c>
    </row>
    <row r="136" spans="1:1">
      <c r="A136" s="256">
        <v>18.024563759216107</v>
      </c>
    </row>
    <row r="137" spans="1:1">
      <c r="A137" s="256">
        <v>27.585024271364091</v>
      </c>
    </row>
    <row r="138" spans="1:1">
      <c r="A138" s="256">
        <v>22.106682935234858</v>
      </c>
    </row>
    <row r="139" spans="1:1">
      <c r="A139" s="256">
        <v>21.88331387865037</v>
      </c>
    </row>
    <row r="140" spans="1:1">
      <c r="A140" s="256">
        <v>17.934069036389701</v>
      </c>
    </row>
    <row r="141" spans="1:1">
      <c r="A141" s="256">
        <v>23.204190087060852</v>
      </c>
    </row>
    <row r="142" spans="1:1">
      <c r="A142" s="256">
        <v>23.542490852240007</v>
      </c>
    </row>
    <row r="143" spans="1:1">
      <c r="A143" s="256">
        <v>19.332155660638819</v>
      </c>
    </row>
    <row r="144" spans="1:1">
      <c r="A144" s="256">
        <v>27.434241418493912</v>
      </c>
    </row>
    <row r="145" spans="1:1">
      <c r="A145" s="256">
        <v>26.227808065275894</v>
      </c>
    </row>
    <row r="146" spans="1:1">
      <c r="A146" s="256">
        <v>25.024552259172197</v>
      </c>
    </row>
    <row r="147" spans="1:1">
      <c r="A147" s="256">
        <v>25.749777650024043</v>
      </c>
    </row>
    <row r="148" spans="1:1">
      <c r="A148" s="256">
        <v>21.832791447966883</v>
      </c>
    </row>
    <row r="149" spans="1:1">
      <c r="A149" s="256">
        <v>24.491639523010235</v>
      </c>
    </row>
    <row r="150" spans="1:1">
      <c r="A150" s="256">
        <v>21.644440779571596</v>
      </c>
    </row>
    <row r="151" spans="1:1" ht="13.5" thickBot="1">
      <c r="A151" s="257">
        <v>22.637566361343488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AI26"/>
  <sheetViews>
    <sheetView showGridLines="0" zoomScaleNormal="100" workbookViewId="0">
      <selection sqref="A1:C25"/>
    </sheetView>
  </sheetViews>
  <sheetFormatPr defaultRowHeight="12.75"/>
  <cols>
    <col min="1" max="1" width="6.83203125" style="23" bestFit="1" customWidth="1"/>
    <col min="2" max="3" width="4.5" style="23" bestFit="1" customWidth="1"/>
    <col min="4" max="4" width="4.1640625" style="23" customWidth="1"/>
    <col min="5" max="5" width="6.83203125" style="23" bestFit="1" customWidth="1"/>
    <col min="6" max="7" width="4.5" style="23" bestFit="1" customWidth="1"/>
    <col min="8" max="8" width="4.5" style="23" customWidth="1"/>
    <col min="9" max="9" width="6.83203125" style="23" bestFit="1" customWidth="1"/>
    <col min="10" max="10" width="8.1640625" style="23" bestFit="1" customWidth="1"/>
    <col min="11" max="11" width="4.5" style="23" bestFit="1" customWidth="1"/>
    <col min="12" max="12" width="4" style="23" customWidth="1"/>
    <col min="13" max="13" width="6.83203125" style="23" bestFit="1" customWidth="1"/>
    <col min="14" max="14" width="8.1640625" style="23" bestFit="1" customWidth="1"/>
    <col min="15" max="15" width="4.5" style="23" bestFit="1" customWidth="1"/>
    <col min="16" max="16" width="3" style="23" customWidth="1"/>
    <col min="17" max="17" width="6.83203125" style="23" bestFit="1" customWidth="1"/>
    <col min="18" max="18" width="5.5" style="23" bestFit="1" customWidth="1"/>
    <col min="19" max="19" width="4.5" style="23" bestFit="1" customWidth="1"/>
    <col min="20" max="20" width="4.33203125" style="23" customWidth="1"/>
    <col min="21" max="22" width="6.83203125" style="23" bestFit="1" customWidth="1"/>
    <col min="23" max="23" width="4.5" style="23" bestFit="1" customWidth="1"/>
    <col min="24" max="24" width="3" style="23" customWidth="1"/>
    <col min="25" max="25" width="6.83203125" style="23" bestFit="1" customWidth="1"/>
    <col min="26" max="26" width="5.5" style="23" bestFit="1" customWidth="1"/>
    <col min="27" max="27" width="4.5" style="23" bestFit="1" customWidth="1"/>
    <col min="28" max="28" width="4" style="23" customWidth="1"/>
    <col min="29" max="30" width="6.83203125" style="23" bestFit="1" customWidth="1"/>
    <col min="31" max="31" width="4.5" style="23" bestFit="1" customWidth="1"/>
    <col min="32" max="32" width="9.33203125" style="23"/>
    <col min="33" max="33" width="13.33203125" style="23" bestFit="1" customWidth="1"/>
    <col min="34" max="34" width="5.83203125" style="23" bestFit="1" customWidth="1"/>
    <col min="35" max="35" width="11.6640625" style="23" bestFit="1" customWidth="1"/>
    <col min="36" max="16384" width="9.33203125" style="23"/>
  </cols>
  <sheetData>
    <row r="1" spans="1:35" s="38" customFormat="1" ht="107.25" thickBot="1">
      <c r="A1" s="311" t="s">
        <v>292</v>
      </c>
      <c r="B1" s="312" t="s">
        <v>287</v>
      </c>
      <c r="C1" s="313" t="s">
        <v>288</v>
      </c>
      <c r="E1" s="314" t="s">
        <v>289</v>
      </c>
      <c r="F1" s="312" t="s">
        <v>287</v>
      </c>
      <c r="G1" s="313" t="s">
        <v>288</v>
      </c>
      <c r="I1" s="314" t="s">
        <v>290</v>
      </c>
      <c r="J1" s="312" t="s">
        <v>287</v>
      </c>
      <c r="K1" s="313" t="s">
        <v>288</v>
      </c>
      <c r="M1" s="314" t="s">
        <v>291</v>
      </c>
      <c r="N1" s="312" t="s">
        <v>287</v>
      </c>
      <c r="O1" s="313" t="s">
        <v>288</v>
      </c>
      <c r="Q1" s="314" t="s">
        <v>293</v>
      </c>
      <c r="R1" s="312" t="s">
        <v>287</v>
      </c>
      <c r="S1" s="313" t="s">
        <v>288</v>
      </c>
      <c r="U1" s="314" t="s">
        <v>294</v>
      </c>
      <c r="V1" s="312" t="s">
        <v>287</v>
      </c>
      <c r="W1" s="313" t="s">
        <v>288</v>
      </c>
      <c r="Y1" s="314" t="s">
        <v>290</v>
      </c>
      <c r="Z1" s="312" t="s">
        <v>287</v>
      </c>
      <c r="AA1" s="313" t="s">
        <v>288</v>
      </c>
      <c r="AC1" s="314" t="s">
        <v>291</v>
      </c>
      <c r="AD1" s="312" t="s">
        <v>287</v>
      </c>
      <c r="AE1" s="313" t="s">
        <v>288</v>
      </c>
      <c r="AG1" s="23"/>
      <c r="AH1" s="23"/>
      <c r="AI1" s="23"/>
    </row>
    <row r="2" spans="1:35">
      <c r="A2" s="305">
        <v>2019</v>
      </c>
      <c r="B2" s="306">
        <v>40</v>
      </c>
      <c r="C2" s="307">
        <v>8</v>
      </c>
      <c r="E2" s="308">
        <v>2019</v>
      </c>
      <c r="F2" s="309">
        <v>46</v>
      </c>
      <c r="G2" s="310">
        <v>9</v>
      </c>
      <c r="I2" s="308">
        <v>2019</v>
      </c>
      <c r="J2" s="309">
        <v>89424</v>
      </c>
      <c r="K2" s="310">
        <v>49</v>
      </c>
      <c r="M2" s="308">
        <v>2019</v>
      </c>
      <c r="N2" s="309">
        <v>56832</v>
      </c>
      <c r="O2" s="310">
        <v>8</v>
      </c>
      <c r="Q2" s="308">
        <v>2019</v>
      </c>
      <c r="R2" s="309">
        <v>696</v>
      </c>
      <c r="S2" s="310">
        <v>5</v>
      </c>
      <c r="U2" s="308">
        <v>2019</v>
      </c>
      <c r="V2" s="309">
        <v>5132</v>
      </c>
      <c r="W2" s="310">
        <v>7</v>
      </c>
      <c r="Y2" s="308">
        <v>2019</v>
      </c>
      <c r="Z2" s="309">
        <v>55</v>
      </c>
      <c r="AA2" s="310">
        <v>0</v>
      </c>
      <c r="AC2" s="308">
        <v>2019</v>
      </c>
      <c r="AD2" s="309">
        <v>1174</v>
      </c>
      <c r="AE2" s="310">
        <v>10</v>
      </c>
      <c r="AG2" s="292"/>
    </row>
    <row r="3" spans="1:35">
      <c r="A3" s="295">
        <v>2019</v>
      </c>
      <c r="B3" s="293">
        <v>39</v>
      </c>
      <c r="C3" s="296">
        <v>8</v>
      </c>
      <c r="E3" s="300">
        <v>2019</v>
      </c>
      <c r="F3" s="294">
        <v>34</v>
      </c>
      <c r="G3" s="301">
        <v>11</v>
      </c>
      <c r="I3" s="300">
        <v>2019</v>
      </c>
      <c r="J3" s="294">
        <v>81672</v>
      </c>
      <c r="K3" s="301">
        <v>69</v>
      </c>
      <c r="M3" s="300">
        <v>2019</v>
      </c>
      <c r="N3" s="294">
        <v>58272</v>
      </c>
      <c r="O3" s="301">
        <v>18</v>
      </c>
      <c r="Q3" s="300">
        <v>2019</v>
      </c>
      <c r="R3" s="294">
        <v>669</v>
      </c>
      <c r="S3" s="301">
        <v>4</v>
      </c>
      <c r="U3" s="300">
        <v>2019</v>
      </c>
      <c r="V3" s="294">
        <v>4696</v>
      </c>
      <c r="W3" s="301">
        <v>7</v>
      </c>
      <c r="Y3" s="300">
        <v>2019</v>
      </c>
      <c r="Z3" s="294">
        <v>61</v>
      </c>
      <c r="AA3" s="301">
        <v>3</v>
      </c>
      <c r="AC3" s="300">
        <v>2019</v>
      </c>
      <c r="AD3" s="294">
        <v>1228</v>
      </c>
      <c r="AE3" s="301">
        <v>3</v>
      </c>
    </row>
    <row r="4" spans="1:35">
      <c r="A4" s="295">
        <v>2019</v>
      </c>
      <c r="B4" s="293">
        <v>40</v>
      </c>
      <c r="C4" s="296">
        <v>8</v>
      </c>
      <c r="E4" s="300">
        <v>2019</v>
      </c>
      <c r="F4" s="294">
        <v>64</v>
      </c>
      <c r="G4" s="301">
        <v>15</v>
      </c>
      <c r="I4" s="300">
        <v>2019</v>
      </c>
      <c r="J4" s="294">
        <v>77688</v>
      </c>
      <c r="K4" s="301">
        <v>68</v>
      </c>
      <c r="M4" s="300">
        <v>2019</v>
      </c>
      <c r="N4" s="294">
        <v>60600</v>
      </c>
      <c r="O4" s="301">
        <v>19</v>
      </c>
      <c r="Q4" s="300">
        <v>2019</v>
      </c>
      <c r="R4" s="294">
        <v>586</v>
      </c>
      <c r="S4" s="301">
        <v>6</v>
      </c>
      <c r="U4" s="300">
        <v>2019</v>
      </c>
      <c r="V4" s="294">
        <v>5043</v>
      </c>
      <c r="W4" s="301">
        <v>14</v>
      </c>
      <c r="Y4" s="300">
        <v>2019</v>
      </c>
      <c r="Z4" s="294">
        <v>63</v>
      </c>
      <c r="AA4" s="301">
        <v>1</v>
      </c>
      <c r="AC4" s="300">
        <v>2019</v>
      </c>
      <c r="AD4" s="294">
        <v>1239</v>
      </c>
      <c r="AE4" s="301">
        <v>10</v>
      </c>
    </row>
    <row r="5" spans="1:35">
      <c r="A5" s="305">
        <v>2019</v>
      </c>
      <c r="B5" s="293">
        <v>41</v>
      </c>
      <c r="C5" s="296">
        <v>8</v>
      </c>
      <c r="E5" s="300">
        <v>2019</v>
      </c>
      <c r="F5" s="294">
        <v>41</v>
      </c>
      <c r="G5" s="301">
        <v>7</v>
      </c>
      <c r="I5" s="300">
        <v>2019</v>
      </c>
      <c r="J5" s="294">
        <v>82728</v>
      </c>
      <c r="K5" s="301">
        <v>96</v>
      </c>
      <c r="M5" s="300">
        <v>2019</v>
      </c>
      <c r="N5" s="294">
        <v>59088</v>
      </c>
      <c r="O5" s="301">
        <v>16</v>
      </c>
      <c r="Q5" s="300">
        <v>2019</v>
      </c>
      <c r="R5" s="294">
        <v>568</v>
      </c>
      <c r="S5" s="301">
        <v>5</v>
      </c>
      <c r="U5" s="300">
        <v>2019</v>
      </c>
      <c r="V5" s="294">
        <v>4941</v>
      </c>
      <c r="W5" s="301">
        <v>6</v>
      </c>
      <c r="Y5" s="300">
        <v>2019</v>
      </c>
      <c r="Z5" s="294">
        <v>64</v>
      </c>
      <c r="AA5" s="301">
        <v>4</v>
      </c>
      <c r="AC5" s="300">
        <v>2019</v>
      </c>
      <c r="AD5" s="294">
        <v>1292</v>
      </c>
      <c r="AE5" s="301">
        <v>2</v>
      </c>
    </row>
    <row r="6" spans="1:35">
      <c r="A6" s="295">
        <v>2019</v>
      </c>
      <c r="B6" s="293">
        <v>40</v>
      </c>
      <c r="C6" s="296">
        <v>7</v>
      </c>
      <c r="E6" s="300">
        <v>2019</v>
      </c>
      <c r="F6" s="294">
        <v>38</v>
      </c>
      <c r="G6" s="301">
        <v>8</v>
      </c>
      <c r="I6" s="300">
        <v>2019</v>
      </c>
      <c r="J6" s="294">
        <v>75744</v>
      </c>
      <c r="K6" s="301">
        <v>32</v>
      </c>
      <c r="M6" s="300">
        <v>2019</v>
      </c>
      <c r="N6" s="294">
        <v>60024</v>
      </c>
      <c r="O6" s="301">
        <v>6</v>
      </c>
      <c r="Q6" s="300">
        <v>2019</v>
      </c>
      <c r="R6" s="294">
        <v>564</v>
      </c>
      <c r="S6" s="301">
        <v>3</v>
      </c>
      <c r="U6" s="300">
        <v>2019</v>
      </c>
      <c r="V6" s="294">
        <v>5038</v>
      </c>
      <c r="W6" s="301">
        <v>4</v>
      </c>
      <c r="Y6" s="300">
        <v>2019</v>
      </c>
      <c r="Z6" s="294">
        <v>56</v>
      </c>
      <c r="AA6" s="301">
        <v>1</v>
      </c>
      <c r="AC6" s="300">
        <v>2019</v>
      </c>
      <c r="AD6" s="294">
        <v>1255</v>
      </c>
      <c r="AE6" s="301">
        <v>1</v>
      </c>
    </row>
    <row r="7" spans="1:35">
      <c r="A7" s="295">
        <v>2019</v>
      </c>
      <c r="B7" s="293">
        <v>40</v>
      </c>
      <c r="C7" s="296">
        <v>7</v>
      </c>
      <c r="E7" s="300">
        <v>2019</v>
      </c>
      <c r="F7" s="294">
        <v>35</v>
      </c>
      <c r="G7" s="301">
        <v>8</v>
      </c>
      <c r="I7" s="300">
        <v>2019</v>
      </c>
      <c r="J7" s="294">
        <v>66480</v>
      </c>
      <c r="K7" s="301">
        <v>56</v>
      </c>
      <c r="M7" s="300">
        <v>2019</v>
      </c>
      <c r="N7" s="294">
        <v>54840</v>
      </c>
      <c r="O7" s="301">
        <v>4</v>
      </c>
      <c r="Q7" s="300">
        <v>2019</v>
      </c>
      <c r="R7" s="294">
        <v>647</v>
      </c>
      <c r="S7" s="301">
        <v>6</v>
      </c>
      <c r="U7" s="300">
        <v>2019</v>
      </c>
      <c r="V7" s="294">
        <v>4818</v>
      </c>
      <c r="W7" s="301">
        <v>9</v>
      </c>
      <c r="Y7" s="300">
        <v>2019</v>
      </c>
      <c r="Z7" s="294">
        <v>59</v>
      </c>
      <c r="AA7" s="301">
        <v>4</v>
      </c>
      <c r="AC7" s="300">
        <v>2019</v>
      </c>
      <c r="AD7" s="294">
        <v>1169</v>
      </c>
      <c r="AE7" s="301">
        <v>7</v>
      </c>
    </row>
    <row r="8" spans="1:35">
      <c r="A8" s="305">
        <v>2019</v>
      </c>
      <c r="B8" s="293">
        <v>39</v>
      </c>
      <c r="C8" s="296">
        <v>4</v>
      </c>
      <c r="E8" s="300">
        <v>2019</v>
      </c>
      <c r="F8" s="294">
        <v>24</v>
      </c>
      <c r="G8" s="301">
        <v>6</v>
      </c>
      <c r="I8" s="300">
        <v>2019</v>
      </c>
      <c r="J8" s="294">
        <v>68280</v>
      </c>
      <c r="K8" s="301">
        <v>47</v>
      </c>
      <c r="M8" s="300">
        <v>2019</v>
      </c>
      <c r="N8" s="294">
        <v>59688</v>
      </c>
      <c r="O8" s="301">
        <v>11</v>
      </c>
      <c r="Q8" s="300">
        <v>2019</v>
      </c>
      <c r="R8" s="294">
        <v>765</v>
      </c>
      <c r="S8" s="301">
        <v>11</v>
      </c>
      <c r="U8" s="300">
        <v>2019</v>
      </c>
      <c r="V8" s="294">
        <v>4888</v>
      </c>
      <c r="W8" s="301">
        <v>23</v>
      </c>
      <c r="Y8" s="300">
        <v>2019</v>
      </c>
      <c r="Z8" s="294">
        <v>51</v>
      </c>
      <c r="AA8" s="301">
        <v>7</v>
      </c>
      <c r="AC8" s="300">
        <v>2019</v>
      </c>
      <c r="AD8" s="294">
        <v>1255</v>
      </c>
      <c r="AE8" s="301">
        <v>1</v>
      </c>
    </row>
    <row r="9" spans="1:35">
      <c r="A9" s="295">
        <v>2019</v>
      </c>
      <c r="B9" s="293">
        <v>39</v>
      </c>
      <c r="C9" s="296">
        <v>4</v>
      </c>
      <c r="E9" s="300">
        <v>2019</v>
      </c>
      <c r="F9" s="294">
        <v>50</v>
      </c>
      <c r="G9" s="301">
        <v>8</v>
      </c>
      <c r="I9" s="300">
        <v>2019</v>
      </c>
      <c r="J9" s="294">
        <v>72744</v>
      </c>
      <c r="K9" s="301">
        <v>59</v>
      </c>
      <c r="M9" s="300">
        <v>2019</v>
      </c>
      <c r="N9" s="294">
        <v>59280</v>
      </c>
      <c r="O9" s="301">
        <v>12</v>
      </c>
      <c r="Q9" s="300">
        <v>2019</v>
      </c>
      <c r="R9" s="294">
        <v>649</v>
      </c>
      <c r="S9" s="301">
        <v>3</v>
      </c>
      <c r="U9" s="300">
        <v>2019</v>
      </c>
      <c r="V9" s="294">
        <v>4941</v>
      </c>
      <c r="W9" s="301">
        <v>17</v>
      </c>
      <c r="Y9" s="300">
        <v>2019</v>
      </c>
      <c r="Z9" s="294">
        <v>59</v>
      </c>
      <c r="AA9" s="301">
        <v>5</v>
      </c>
      <c r="AC9" s="300">
        <v>2019</v>
      </c>
      <c r="AD9" s="294">
        <v>1152</v>
      </c>
      <c r="AE9" s="301">
        <v>3</v>
      </c>
    </row>
    <row r="10" spans="1:35">
      <c r="A10" s="295">
        <v>2019</v>
      </c>
      <c r="B10" s="293">
        <v>40</v>
      </c>
      <c r="C10" s="296">
        <v>3</v>
      </c>
      <c r="E10" s="300">
        <v>2019</v>
      </c>
      <c r="F10" s="294">
        <v>35</v>
      </c>
      <c r="G10" s="301">
        <v>6</v>
      </c>
      <c r="I10" s="300">
        <v>2019</v>
      </c>
      <c r="J10" s="294">
        <v>78720</v>
      </c>
      <c r="K10" s="301">
        <v>77</v>
      </c>
      <c r="M10" s="300">
        <v>2019</v>
      </c>
      <c r="N10" s="294">
        <v>55440</v>
      </c>
      <c r="O10" s="301">
        <v>0</v>
      </c>
      <c r="Q10" s="300">
        <v>2019</v>
      </c>
      <c r="R10" s="294">
        <v>588</v>
      </c>
      <c r="S10" s="301">
        <v>4</v>
      </c>
      <c r="U10" s="300">
        <v>2019</v>
      </c>
      <c r="V10" s="294">
        <v>4973</v>
      </c>
      <c r="W10" s="301">
        <v>15</v>
      </c>
      <c r="Y10" s="300">
        <v>2019</v>
      </c>
      <c r="Z10" s="294">
        <v>57</v>
      </c>
      <c r="AA10" s="301">
        <v>1</v>
      </c>
      <c r="AC10" s="300">
        <v>2019</v>
      </c>
      <c r="AD10" s="294">
        <v>1266</v>
      </c>
      <c r="AE10" s="301">
        <v>5</v>
      </c>
    </row>
    <row r="11" spans="1:35">
      <c r="A11" s="305">
        <v>2019</v>
      </c>
      <c r="B11" s="293">
        <v>42</v>
      </c>
      <c r="C11" s="296">
        <v>7</v>
      </c>
      <c r="E11" s="300">
        <v>2019</v>
      </c>
      <c r="F11" s="294">
        <v>29</v>
      </c>
      <c r="G11" s="301">
        <v>4</v>
      </c>
      <c r="I11" s="300">
        <v>2019</v>
      </c>
      <c r="J11" s="294">
        <v>78768</v>
      </c>
      <c r="K11" s="301">
        <v>38</v>
      </c>
      <c r="M11" s="300">
        <v>2019</v>
      </c>
      <c r="N11" s="294">
        <v>48120</v>
      </c>
      <c r="O11" s="301">
        <v>0</v>
      </c>
      <c r="Q11" s="300">
        <v>2019</v>
      </c>
      <c r="R11" s="294">
        <v>818</v>
      </c>
      <c r="S11" s="301">
        <v>7</v>
      </c>
      <c r="U11" s="300">
        <v>2019</v>
      </c>
      <c r="V11" s="294">
        <v>5392</v>
      </c>
      <c r="W11" s="301">
        <v>15</v>
      </c>
      <c r="Y11" s="300">
        <v>2019</v>
      </c>
      <c r="Z11" s="294">
        <v>62</v>
      </c>
      <c r="AA11" s="301">
        <v>5</v>
      </c>
      <c r="AC11" s="300">
        <v>2019</v>
      </c>
      <c r="AD11" s="294">
        <v>1230</v>
      </c>
      <c r="AE11" s="301">
        <v>6</v>
      </c>
    </row>
    <row r="12" spans="1:35">
      <c r="A12" s="295">
        <v>2019</v>
      </c>
      <c r="B12" s="293">
        <v>41</v>
      </c>
      <c r="C12" s="296">
        <v>10</v>
      </c>
      <c r="E12" s="300">
        <v>2019</v>
      </c>
      <c r="F12" s="294">
        <v>40</v>
      </c>
      <c r="G12" s="301">
        <v>6</v>
      </c>
      <c r="I12" s="300">
        <v>2019</v>
      </c>
      <c r="J12" s="294">
        <v>77880</v>
      </c>
      <c r="K12" s="301">
        <v>26</v>
      </c>
      <c r="M12" s="300">
        <v>2019</v>
      </c>
      <c r="N12" s="294">
        <v>43464</v>
      </c>
      <c r="O12" s="301">
        <v>1</v>
      </c>
      <c r="Q12" s="300">
        <v>2019</v>
      </c>
      <c r="R12" s="294">
        <v>725</v>
      </c>
      <c r="S12" s="301">
        <v>9</v>
      </c>
      <c r="U12" s="300">
        <v>2019</v>
      </c>
      <c r="V12" s="294">
        <v>5067</v>
      </c>
      <c r="W12" s="301">
        <v>7</v>
      </c>
      <c r="Y12" s="300">
        <v>2019</v>
      </c>
      <c r="Z12" s="294">
        <v>59</v>
      </c>
      <c r="AA12" s="301">
        <v>3</v>
      </c>
      <c r="AC12" s="300">
        <v>2019</v>
      </c>
      <c r="AD12" s="294">
        <v>1063</v>
      </c>
      <c r="AE12" s="301">
        <v>7</v>
      </c>
    </row>
    <row r="13" spans="1:35">
      <c r="A13" s="295">
        <v>2019</v>
      </c>
      <c r="B13" s="293">
        <v>40</v>
      </c>
      <c r="C13" s="296">
        <v>9</v>
      </c>
      <c r="E13" s="300">
        <v>2019</v>
      </c>
      <c r="F13" s="294">
        <v>43</v>
      </c>
      <c r="G13" s="301">
        <v>8</v>
      </c>
      <c r="I13" s="300">
        <v>2019</v>
      </c>
      <c r="J13" s="294">
        <v>80808</v>
      </c>
      <c r="K13" s="301">
        <v>47</v>
      </c>
      <c r="M13" s="300">
        <v>2019</v>
      </c>
      <c r="N13" s="294">
        <v>49896</v>
      </c>
      <c r="O13" s="301">
        <v>4</v>
      </c>
      <c r="Q13" s="300">
        <v>2019</v>
      </c>
      <c r="R13" s="294">
        <v>651</v>
      </c>
      <c r="S13" s="301">
        <v>11</v>
      </c>
      <c r="U13" s="300">
        <v>2019</v>
      </c>
      <c r="V13" s="294">
        <v>5070</v>
      </c>
      <c r="W13" s="301">
        <v>18</v>
      </c>
      <c r="Y13" s="300">
        <v>2019</v>
      </c>
      <c r="Z13" s="294">
        <v>56</v>
      </c>
      <c r="AA13" s="301">
        <v>6</v>
      </c>
      <c r="AC13" s="300">
        <v>2019</v>
      </c>
      <c r="AD13" s="294">
        <v>1169</v>
      </c>
      <c r="AE13" s="301">
        <v>18</v>
      </c>
    </row>
    <row r="14" spans="1:35">
      <c r="A14" s="295">
        <v>2020</v>
      </c>
      <c r="B14" s="293">
        <v>38</v>
      </c>
      <c r="C14" s="296">
        <v>8</v>
      </c>
      <c r="E14" s="300">
        <v>2020</v>
      </c>
      <c r="F14" s="294">
        <v>37</v>
      </c>
      <c r="G14" s="301">
        <v>8</v>
      </c>
      <c r="I14" s="300">
        <v>2020</v>
      </c>
      <c r="J14" s="294">
        <v>79968</v>
      </c>
      <c r="K14" s="301">
        <v>29</v>
      </c>
      <c r="M14" s="300">
        <v>2020</v>
      </c>
      <c r="N14" s="294">
        <v>56280</v>
      </c>
      <c r="O14" s="301">
        <v>3</v>
      </c>
      <c r="Q14" s="300">
        <v>2020</v>
      </c>
      <c r="R14" s="294">
        <v>672</v>
      </c>
      <c r="S14" s="301">
        <v>6</v>
      </c>
      <c r="U14" s="300">
        <v>2020</v>
      </c>
      <c r="V14" s="294">
        <v>5128</v>
      </c>
      <c r="W14" s="301">
        <v>18</v>
      </c>
      <c r="Y14" s="300">
        <v>2020</v>
      </c>
      <c r="Z14" s="294">
        <v>57</v>
      </c>
      <c r="AA14" s="301">
        <v>4</v>
      </c>
      <c r="AC14" s="300">
        <v>2020</v>
      </c>
      <c r="AD14" s="294">
        <v>1396</v>
      </c>
      <c r="AE14" s="301">
        <v>8</v>
      </c>
    </row>
    <row r="15" spans="1:35">
      <c r="A15" s="295">
        <v>2020</v>
      </c>
      <c r="B15" s="293">
        <v>39</v>
      </c>
      <c r="C15" s="296">
        <v>5</v>
      </c>
      <c r="E15" s="300">
        <v>2020</v>
      </c>
      <c r="F15" s="294">
        <v>48</v>
      </c>
      <c r="G15" s="301">
        <v>1</v>
      </c>
      <c r="I15" s="300">
        <v>2020</v>
      </c>
      <c r="J15" s="294">
        <v>70032</v>
      </c>
      <c r="K15" s="301">
        <v>56</v>
      </c>
      <c r="M15" s="300">
        <v>2020</v>
      </c>
      <c r="N15" s="294">
        <v>47664</v>
      </c>
      <c r="O15" s="301">
        <v>0</v>
      </c>
      <c r="Q15" s="300">
        <v>2020</v>
      </c>
      <c r="R15" s="294">
        <v>583</v>
      </c>
      <c r="S15" s="301">
        <v>6</v>
      </c>
      <c r="U15" s="300">
        <v>2020</v>
      </c>
      <c r="V15" s="294">
        <v>4862</v>
      </c>
      <c r="W15" s="301">
        <v>7</v>
      </c>
      <c r="Y15" s="300">
        <v>2020</v>
      </c>
      <c r="Z15" s="294">
        <v>63</v>
      </c>
      <c r="AA15" s="301">
        <v>2</v>
      </c>
      <c r="AC15" s="300">
        <v>2020</v>
      </c>
      <c r="AD15" s="294">
        <v>1166</v>
      </c>
      <c r="AE15" s="301">
        <v>8</v>
      </c>
    </row>
    <row r="16" spans="1:35">
      <c r="A16" s="295">
        <v>2020</v>
      </c>
      <c r="B16" s="293">
        <v>37</v>
      </c>
      <c r="C16" s="296">
        <v>5</v>
      </c>
      <c r="E16" s="300">
        <v>2020</v>
      </c>
      <c r="F16" s="294">
        <v>41</v>
      </c>
      <c r="G16" s="301">
        <v>9</v>
      </c>
      <c r="I16" s="300">
        <v>2020</v>
      </c>
      <c r="J16" s="294">
        <v>72744</v>
      </c>
      <c r="K16" s="301">
        <v>34</v>
      </c>
      <c r="M16" s="300">
        <v>2020</v>
      </c>
      <c r="N16" s="294">
        <v>48072</v>
      </c>
      <c r="O16" s="301">
        <v>3</v>
      </c>
      <c r="Q16" s="300">
        <v>2020</v>
      </c>
      <c r="R16" s="294">
        <v>590</v>
      </c>
      <c r="S16" s="301">
        <v>3</v>
      </c>
      <c r="U16" s="300">
        <v>2020</v>
      </c>
      <c r="V16" s="294">
        <v>5419</v>
      </c>
      <c r="W16" s="301">
        <v>8</v>
      </c>
      <c r="Y16" s="300">
        <v>2020</v>
      </c>
      <c r="Z16" s="294">
        <v>55</v>
      </c>
      <c r="AA16" s="301">
        <v>5</v>
      </c>
      <c r="AC16" s="300">
        <v>2020</v>
      </c>
      <c r="AD16" s="294">
        <v>1207</v>
      </c>
      <c r="AE16" s="301">
        <v>6</v>
      </c>
    </row>
    <row r="17" spans="1:31">
      <c r="A17" s="295">
        <v>2020</v>
      </c>
      <c r="B17" s="293">
        <v>39</v>
      </c>
      <c r="C17" s="296">
        <v>5</v>
      </c>
      <c r="E17" s="300">
        <v>2020</v>
      </c>
      <c r="F17" s="294">
        <v>40</v>
      </c>
      <c r="G17" s="301">
        <v>8</v>
      </c>
      <c r="I17" s="300">
        <v>2020</v>
      </c>
      <c r="J17" s="294">
        <v>60144</v>
      </c>
      <c r="K17" s="301">
        <v>22</v>
      </c>
      <c r="M17" s="300">
        <v>2020</v>
      </c>
      <c r="N17" s="294">
        <v>51816</v>
      </c>
      <c r="O17" s="301">
        <v>8</v>
      </c>
      <c r="Q17" s="300">
        <v>2020</v>
      </c>
      <c r="R17" s="294">
        <v>797</v>
      </c>
      <c r="S17" s="301">
        <v>6</v>
      </c>
      <c r="U17" s="300">
        <v>2020</v>
      </c>
      <c r="V17" s="294">
        <v>5112</v>
      </c>
      <c r="W17" s="301">
        <v>12</v>
      </c>
      <c r="Y17" s="300">
        <v>2020</v>
      </c>
      <c r="Z17" s="294">
        <v>62</v>
      </c>
      <c r="AA17" s="301">
        <v>3</v>
      </c>
      <c r="AC17" s="300">
        <v>2020</v>
      </c>
      <c r="AD17" s="294">
        <v>1203</v>
      </c>
      <c r="AE17" s="301">
        <v>7</v>
      </c>
    </row>
    <row r="18" spans="1:31">
      <c r="A18" s="295">
        <v>2020</v>
      </c>
      <c r="B18" s="293">
        <v>38</v>
      </c>
      <c r="C18" s="296">
        <v>9</v>
      </c>
      <c r="E18" s="300">
        <v>2020</v>
      </c>
      <c r="F18" s="294">
        <v>1</v>
      </c>
      <c r="G18" s="301">
        <v>0</v>
      </c>
      <c r="I18" s="300">
        <v>2020</v>
      </c>
      <c r="J18" s="294">
        <v>78504</v>
      </c>
      <c r="K18" s="301">
        <v>13</v>
      </c>
      <c r="M18" s="300">
        <v>2020</v>
      </c>
      <c r="N18" s="294">
        <v>57768</v>
      </c>
      <c r="O18" s="301">
        <v>3</v>
      </c>
      <c r="Q18" s="300">
        <v>2020</v>
      </c>
      <c r="R18" s="294">
        <v>816</v>
      </c>
      <c r="S18" s="301">
        <v>4</v>
      </c>
      <c r="U18" s="300">
        <v>2020</v>
      </c>
      <c r="V18" s="294">
        <v>5285</v>
      </c>
      <c r="W18" s="301">
        <v>11</v>
      </c>
      <c r="Y18" s="300">
        <v>2020</v>
      </c>
      <c r="Z18" s="294">
        <v>64</v>
      </c>
      <c r="AA18" s="301">
        <v>7</v>
      </c>
      <c r="AC18" s="300">
        <v>2020</v>
      </c>
      <c r="AD18" s="294">
        <v>1403</v>
      </c>
      <c r="AE18" s="301">
        <v>18</v>
      </c>
    </row>
    <row r="19" spans="1:31">
      <c r="A19" s="295">
        <v>2020</v>
      </c>
      <c r="B19" s="293">
        <v>38</v>
      </c>
      <c r="C19" s="296">
        <v>10</v>
      </c>
      <c r="E19" s="300">
        <v>2020</v>
      </c>
      <c r="F19" s="294">
        <v>28</v>
      </c>
      <c r="G19" s="301">
        <v>6</v>
      </c>
      <c r="I19" s="300">
        <v>2020</v>
      </c>
      <c r="J19" s="294">
        <v>83976</v>
      </c>
      <c r="K19" s="301">
        <v>27</v>
      </c>
      <c r="M19" s="300">
        <v>2020</v>
      </c>
      <c r="N19" s="294">
        <v>55200</v>
      </c>
      <c r="O19" s="301">
        <v>6</v>
      </c>
      <c r="Q19" s="300">
        <v>2020</v>
      </c>
      <c r="R19" s="294">
        <v>709</v>
      </c>
      <c r="S19" s="301">
        <v>9</v>
      </c>
      <c r="U19" s="300">
        <v>2020</v>
      </c>
      <c r="V19" s="294">
        <v>5071</v>
      </c>
      <c r="W19" s="301">
        <v>8</v>
      </c>
      <c r="Y19" s="300">
        <v>2020</v>
      </c>
      <c r="Z19" s="294">
        <v>57</v>
      </c>
      <c r="AA19" s="301">
        <v>7</v>
      </c>
      <c r="AC19" s="300">
        <v>2020</v>
      </c>
      <c r="AD19" s="294">
        <v>1211</v>
      </c>
      <c r="AE19" s="301">
        <v>14</v>
      </c>
    </row>
    <row r="20" spans="1:31">
      <c r="A20" s="295">
        <v>2020</v>
      </c>
      <c r="B20" s="293">
        <v>38</v>
      </c>
      <c r="C20" s="296">
        <v>8</v>
      </c>
      <c r="E20" s="300">
        <v>2020</v>
      </c>
      <c r="F20" s="294">
        <v>48</v>
      </c>
      <c r="G20" s="301">
        <v>6</v>
      </c>
      <c r="I20" s="300">
        <v>2020</v>
      </c>
      <c r="J20" s="294">
        <v>88056</v>
      </c>
      <c r="K20" s="301">
        <v>13</v>
      </c>
      <c r="M20" s="300">
        <v>2020</v>
      </c>
      <c r="N20" s="294">
        <v>60912</v>
      </c>
      <c r="O20" s="301">
        <v>11</v>
      </c>
      <c r="Q20" s="300">
        <v>2020</v>
      </c>
      <c r="R20" s="294">
        <v>733</v>
      </c>
      <c r="S20" s="301">
        <v>5</v>
      </c>
      <c r="U20" s="300">
        <v>2020</v>
      </c>
      <c r="V20" s="294">
        <v>5325</v>
      </c>
      <c r="W20" s="301">
        <v>12</v>
      </c>
      <c r="Y20" s="300">
        <v>2020</v>
      </c>
      <c r="Z20" s="294">
        <v>54</v>
      </c>
      <c r="AA20" s="301">
        <v>7</v>
      </c>
      <c r="AC20" s="300">
        <v>2020</v>
      </c>
      <c r="AD20" s="294">
        <v>1142</v>
      </c>
      <c r="AE20" s="301">
        <v>12</v>
      </c>
    </row>
    <row r="21" spans="1:31">
      <c r="A21" s="295">
        <v>2020</v>
      </c>
      <c r="B21" s="293">
        <v>38</v>
      </c>
      <c r="C21" s="296">
        <v>7</v>
      </c>
      <c r="E21" s="300">
        <v>2020</v>
      </c>
      <c r="F21" s="294">
        <v>63</v>
      </c>
      <c r="G21" s="301">
        <v>10</v>
      </c>
      <c r="I21" s="300">
        <v>2020</v>
      </c>
      <c r="J21" s="294">
        <v>85320</v>
      </c>
      <c r="K21" s="301">
        <v>15</v>
      </c>
      <c r="M21" s="300">
        <v>2020</v>
      </c>
      <c r="N21" s="294">
        <v>56184</v>
      </c>
      <c r="O21" s="301">
        <v>9</v>
      </c>
      <c r="Q21" s="300">
        <v>2020</v>
      </c>
      <c r="R21" s="294">
        <v>831</v>
      </c>
      <c r="S21" s="301">
        <v>8</v>
      </c>
      <c r="U21" s="300">
        <v>2020</v>
      </c>
      <c r="V21" s="294">
        <v>5278</v>
      </c>
      <c r="W21" s="301">
        <v>5</v>
      </c>
      <c r="Y21" s="300">
        <v>2020</v>
      </c>
      <c r="Z21" s="294">
        <v>56</v>
      </c>
      <c r="AA21" s="301">
        <v>6</v>
      </c>
      <c r="AC21" s="300">
        <v>2020</v>
      </c>
      <c r="AD21" s="294">
        <v>1179</v>
      </c>
      <c r="AE21" s="301">
        <v>4</v>
      </c>
    </row>
    <row r="22" spans="1:31">
      <c r="A22" s="295">
        <v>2020</v>
      </c>
      <c r="B22" s="293">
        <v>38</v>
      </c>
      <c r="C22" s="296">
        <v>7</v>
      </c>
      <c r="E22" s="300">
        <v>2020</v>
      </c>
      <c r="F22" s="294">
        <v>66</v>
      </c>
      <c r="G22" s="301">
        <v>18</v>
      </c>
      <c r="I22" s="300">
        <v>2020</v>
      </c>
      <c r="J22" s="294">
        <v>83640</v>
      </c>
      <c r="K22" s="301">
        <v>8</v>
      </c>
      <c r="M22" s="300">
        <v>2020</v>
      </c>
      <c r="N22" s="294">
        <v>54408</v>
      </c>
      <c r="O22" s="301">
        <v>6</v>
      </c>
      <c r="Q22" s="300">
        <v>2020</v>
      </c>
      <c r="R22" s="294">
        <v>613</v>
      </c>
      <c r="S22" s="301">
        <v>6</v>
      </c>
      <c r="U22" s="300">
        <v>2020</v>
      </c>
      <c r="V22" s="294">
        <v>5106</v>
      </c>
      <c r="W22" s="301">
        <v>10</v>
      </c>
      <c r="Y22" s="300">
        <v>2020</v>
      </c>
      <c r="Z22" s="294">
        <v>60</v>
      </c>
      <c r="AA22" s="301">
        <v>9</v>
      </c>
      <c r="AC22" s="300">
        <v>2020</v>
      </c>
      <c r="AD22" s="294">
        <v>1200</v>
      </c>
      <c r="AE22" s="301">
        <v>6</v>
      </c>
    </row>
    <row r="23" spans="1:31">
      <c r="A23" s="295">
        <v>2020</v>
      </c>
      <c r="B23" s="293">
        <v>38</v>
      </c>
      <c r="C23" s="296">
        <v>5</v>
      </c>
      <c r="E23" s="300">
        <v>2020</v>
      </c>
      <c r="F23" s="294">
        <v>61</v>
      </c>
      <c r="G23" s="301">
        <v>13</v>
      </c>
      <c r="I23" s="300">
        <v>2020</v>
      </c>
      <c r="J23" s="294">
        <v>93216</v>
      </c>
      <c r="K23" s="301">
        <v>32</v>
      </c>
      <c r="M23" s="300">
        <v>2020</v>
      </c>
      <c r="N23" s="294">
        <v>59304</v>
      </c>
      <c r="O23" s="301">
        <v>6</v>
      </c>
      <c r="Q23" s="300">
        <v>2020</v>
      </c>
      <c r="R23" s="294">
        <v>608</v>
      </c>
      <c r="S23" s="301">
        <v>5</v>
      </c>
      <c r="U23" s="300">
        <v>2020</v>
      </c>
      <c r="V23" s="294">
        <v>5193</v>
      </c>
      <c r="W23" s="301">
        <v>10</v>
      </c>
      <c r="Y23" s="300">
        <v>2020</v>
      </c>
      <c r="Z23" s="294">
        <v>64</v>
      </c>
      <c r="AA23" s="301">
        <v>7</v>
      </c>
      <c r="AC23" s="300">
        <v>2020</v>
      </c>
      <c r="AD23" s="294">
        <v>1129</v>
      </c>
      <c r="AE23" s="301">
        <v>2</v>
      </c>
    </row>
    <row r="24" spans="1:31">
      <c r="A24" s="295">
        <v>2020</v>
      </c>
      <c r="B24" s="293">
        <v>40</v>
      </c>
      <c r="C24" s="296">
        <v>5</v>
      </c>
      <c r="E24" s="300">
        <v>2020</v>
      </c>
      <c r="F24" s="294">
        <v>66</v>
      </c>
      <c r="G24" s="301">
        <v>13</v>
      </c>
      <c r="I24" s="300">
        <v>2020</v>
      </c>
      <c r="J24" s="294">
        <v>91944</v>
      </c>
      <c r="K24" s="301">
        <v>67</v>
      </c>
      <c r="M24" s="300">
        <v>2020</v>
      </c>
      <c r="N24" s="294">
        <v>54240</v>
      </c>
      <c r="O24" s="301">
        <v>0</v>
      </c>
      <c r="Q24" s="300">
        <v>2020</v>
      </c>
      <c r="R24" s="294">
        <v>634</v>
      </c>
      <c r="S24" s="301">
        <v>4</v>
      </c>
      <c r="U24" s="300">
        <v>2020</v>
      </c>
      <c r="V24" s="294">
        <v>4964</v>
      </c>
      <c r="W24" s="301">
        <v>12</v>
      </c>
      <c r="Y24" s="300">
        <v>2020</v>
      </c>
      <c r="Z24" s="294">
        <v>61</v>
      </c>
      <c r="AA24" s="301">
        <v>13</v>
      </c>
      <c r="AC24" s="300">
        <v>2020</v>
      </c>
      <c r="AD24" s="294">
        <v>1145</v>
      </c>
      <c r="AE24" s="301">
        <v>4</v>
      </c>
    </row>
    <row r="25" spans="1:31" ht="13.5" thickBot="1">
      <c r="A25" s="297">
        <v>2020</v>
      </c>
      <c r="B25" s="298">
        <v>38</v>
      </c>
      <c r="C25" s="299">
        <v>3</v>
      </c>
      <c r="E25" s="302">
        <v>2020</v>
      </c>
      <c r="F25" s="303">
        <v>67</v>
      </c>
      <c r="G25" s="304">
        <v>14</v>
      </c>
      <c r="I25" s="302">
        <v>2020</v>
      </c>
      <c r="J25" s="303">
        <v>90096</v>
      </c>
      <c r="K25" s="304">
        <v>18</v>
      </c>
      <c r="M25" s="302">
        <v>2020</v>
      </c>
      <c r="N25" s="303">
        <v>57480</v>
      </c>
      <c r="O25" s="304">
        <v>0</v>
      </c>
      <c r="Q25" s="302">
        <v>2020</v>
      </c>
      <c r="R25" s="303">
        <v>703</v>
      </c>
      <c r="S25" s="304">
        <v>8</v>
      </c>
      <c r="U25" s="300">
        <v>2020</v>
      </c>
      <c r="V25" s="294">
        <v>5016</v>
      </c>
      <c r="W25" s="301">
        <v>7</v>
      </c>
      <c r="Y25" s="300">
        <v>2020</v>
      </c>
      <c r="Z25" s="294">
        <v>63</v>
      </c>
      <c r="AA25" s="301">
        <v>6</v>
      </c>
      <c r="AC25" s="302">
        <v>2020</v>
      </c>
      <c r="AD25" s="303">
        <v>1049</v>
      </c>
      <c r="AE25" s="304">
        <v>8</v>
      </c>
    </row>
    <row r="26" spans="1:31" ht="13.5" thickBot="1">
      <c r="U26" s="302">
        <v>2021</v>
      </c>
      <c r="V26" s="303">
        <v>703</v>
      </c>
      <c r="W26" s="304">
        <v>8</v>
      </c>
      <c r="Y26" s="302">
        <v>2021</v>
      </c>
      <c r="Z26" s="303">
        <v>703</v>
      </c>
      <c r="AA26" s="304">
        <v>8</v>
      </c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:V13"/>
  <sheetViews>
    <sheetView showGridLines="0" workbookViewId="0">
      <selection sqref="A1:T13"/>
    </sheetView>
  </sheetViews>
  <sheetFormatPr defaultRowHeight="12.75"/>
  <cols>
    <col min="1" max="1" width="8" style="6" customWidth="1"/>
    <col min="2" max="2" width="15.6640625" style="6" customWidth="1"/>
    <col min="3" max="20" width="5.1640625" style="6" customWidth="1"/>
    <col min="21" max="21" width="4.83203125" style="6" customWidth="1"/>
    <col min="22" max="22" width="11.83203125" style="6" bestFit="1" customWidth="1"/>
    <col min="23" max="16384" width="9.33203125" style="6"/>
  </cols>
  <sheetData>
    <row r="1" spans="1:22" ht="39" thickBot="1">
      <c r="A1" s="269"/>
      <c r="B1" s="270" t="s">
        <v>41</v>
      </c>
      <c r="C1" s="270" t="s">
        <v>56</v>
      </c>
      <c r="D1" s="270" t="s">
        <v>57</v>
      </c>
      <c r="E1" s="270" t="s">
        <v>58</v>
      </c>
      <c r="F1" s="270" t="s">
        <v>59</v>
      </c>
      <c r="G1" s="270" t="s">
        <v>42</v>
      </c>
      <c r="H1" s="270" t="s">
        <v>43</v>
      </c>
      <c r="I1" s="270" t="s">
        <v>44</v>
      </c>
      <c r="J1" s="270" t="s">
        <v>45</v>
      </c>
      <c r="K1" s="270" t="s">
        <v>46</v>
      </c>
      <c r="L1" s="270" t="s">
        <v>47</v>
      </c>
      <c r="M1" s="270" t="s">
        <v>48</v>
      </c>
      <c r="N1" s="270" t="s">
        <v>49</v>
      </c>
      <c r="O1" s="270" t="s">
        <v>50</v>
      </c>
      <c r="P1" s="270" t="s">
        <v>51</v>
      </c>
      <c r="Q1" s="270" t="s">
        <v>52</v>
      </c>
      <c r="R1" s="270" t="s">
        <v>53</v>
      </c>
      <c r="S1" s="270" t="s">
        <v>54</v>
      </c>
      <c r="T1" s="271" t="s">
        <v>55</v>
      </c>
    </row>
    <row r="2" spans="1:22">
      <c r="A2" s="266">
        <v>43466</v>
      </c>
      <c r="B2" s="267">
        <v>25</v>
      </c>
      <c r="C2" s="267">
        <v>22</v>
      </c>
      <c r="D2" s="267">
        <v>35</v>
      </c>
      <c r="E2" s="267">
        <v>23</v>
      </c>
      <c r="F2" s="267">
        <v>24</v>
      </c>
      <c r="G2" s="267">
        <v>45</v>
      </c>
      <c r="H2" s="267">
        <v>36</v>
      </c>
      <c r="I2" s="267">
        <v>34</v>
      </c>
      <c r="J2" s="267">
        <v>32</v>
      </c>
      <c r="K2" s="267">
        <v>40</v>
      </c>
      <c r="L2" s="267">
        <v>35</v>
      </c>
      <c r="M2" s="267">
        <v>67</v>
      </c>
      <c r="N2" s="267"/>
      <c r="O2" s="267"/>
      <c r="P2" s="267"/>
      <c r="Q2" s="267"/>
      <c r="R2" s="267"/>
      <c r="S2" s="267"/>
      <c r="T2" s="268"/>
      <c r="V2" s="292"/>
    </row>
    <row r="3" spans="1:22">
      <c r="A3" s="261">
        <v>43497</v>
      </c>
      <c r="B3" s="260">
        <v>25</v>
      </c>
      <c r="C3" s="260">
        <v>22</v>
      </c>
      <c r="D3" s="260">
        <v>35</v>
      </c>
      <c r="E3" s="260">
        <v>23</v>
      </c>
      <c r="F3" s="260">
        <v>24</v>
      </c>
      <c r="G3" s="260">
        <v>45</v>
      </c>
      <c r="H3" s="260">
        <v>36</v>
      </c>
      <c r="I3" s="260">
        <v>34</v>
      </c>
      <c r="J3" s="260">
        <v>32</v>
      </c>
      <c r="K3" s="260">
        <v>40</v>
      </c>
      <c r="L3" s="260">
        <v>35</v>
      </c>
      <c r="M3" s="260">
        <v>67</v>
      </c>
      <c r="N3" s="260">
        <v>25</v>
      </c>
      <c r="O3" s="260">
        <v>22</v>
      </c>
      <c r="P3" s="260">
        <v>35</v>
      </c>
      <c r="Q3" s="260">
        <v>23</v>
      </c>
      <c r="R3" s="260">
        <v>24</v>
      </c>
      <c r="S3" s="260">
        <v>45</v>
      </c>
      <c r="T3" s="262">
        <v>36</v>
      </c>
      <c r="V3" s="292"/>
    </row>
    <row r="4" spans="1:22">
      <c r="A4" s="266">
        <v>43525</v>
      </c>
      <c r="B4" s="260">
        <v>45</v>
      </c>
      <c r="C4" s="260">
        <v>36</v>
      </c>
      <c r="D4" s="260">
        <v>34</v>
      </c>
      <c r="E4" s="260">
        <v>32</v>
      </c>
      <c r="F4" s="260">
        <v>40</v>
      </c>
      <c r="G4" s="260">
        <v>35</v>
      </c>
      <c r="H4" s="260">
        <v>67</v>
      </c>
      <c r="I4" s="260">
        <v>56</v>
      </c>
      <c r="J4" s="260">
        <v>34</v>
      </c>
      <c r="K4" s="260">
        <v>55</v>
      </c>
      <c r="L4" s="260">
        <v>67</v>
      </c>
      <c r="M4" s="260">
        <v>44</v>
      </c>
      <c r="N4" s="260">
        <v>68</v>
      </c>
      <c r="O4" s="260">
        <v>46</v>
      </c>
      <c r="P4" s="260">
        <v>45</v>
      </c>
      <c r="Q4" s="260"/>
      <c r="R4" s="260"/>
      <c r="S4" s="260"/>
      <c r="T4" s="262"/>
      <c r="V4" s="292"/>
    </row>
    <row r="5" spans="1:22">
      <c r="A5" s="261">
        <v>43556</v>
      </c>
      <c r="B5" s="260">
        <v>34</v>
      </c>
      <c r="C5" s="260">
        <v>32</v>
      </c>
      <c r="D5" s="260">
        <v>40</v>
      </c>
      <c r="E5" s="260">
        <v>35</v>
      </c>
      <c r="F5" s="260">
        <v>67</v>
      </c>
      <c r="G5" s="260">
        <v>54</v>
      </c>
      <c r="H5" s="260">
        <v>57</v>
      </c>
      <c r="I5" s="260">
        <v>59</v>
      </c>
      <c r="J5" s="260">
        <v>45</v>
      </c>
      <c r="K5" s="260">
        <v>44</v>
      </c>
      <c r="L5" s="260">
        <v>67</v>
      </c>
      <c r="M5" s="260">
        <v>47</v>
      </c>
      <c r="N5" s="260">
        <v>53</v>
      </c>
      <c r="O5" s="260">
        <v>55</v>
      </c>
      <c r="P5" s="260">
        <v>43</v>
      </c>
      <c r="Q5" s="260">
        <v>22</v>
      </c>
      <c r="R5" s="260">
        <v>67</v>
      </c>
      <c r="S5" s="260"/>
      <c r="T5" s="262"/>
      <c r="V5" s="292"/>
    </row>
    <row r="6" spans="1:22">
      <c r="A6" s="266">
        <v>43586</v>
      </c>
      <c r="B6" s="260">
        <v>25</v>
      </c>
      <c r="C6" s="260">
        <v>22</v>
      </c>
      <c r="D6" s="260">
        <v>35</v>
      </c>
      <c r="E6" s="260">
        <v>23</v>
      </c>
      <c r="F6" s="260">
        <v>24</v>
      </c>
      <c r="G6" s="260">
        <v>45</v>
      </c>
      <c r="H6" s="260">
        <v>36</v>
      </c>
      <c r="I6" s="260">
        <v>34</v>
      </c>
      <c r="J6" s="260">
        <v>32</v>
      </c>
      <c r="K6" s="260">
        <v>40</v>
      </c>
      <c r="L6" s="260">
        <v>35</v>
      </c>
      <c r="M6" s="260">
        <v>67</v>
      </c>
      <c r="N6" s="260"/>
      <c r="O6" s="260"/>
      <c r="P6" s="260"/>
      <c r="Q6" s="260"/>
      <c r="R6" s="260"/>
      <c r="S6" s="260"/>
      <c r="T6" s="262"/>
      <c r="V6" s="292"/>
    </row>
    <row r="7" spans="1:22">
      <c r="A7" s="261">
        <v>43617</v>
      </c>
      <c r="B7" s="260">
        <v>25</v>
      </c>
      <c r="C7" s="260">
        <v>22</v>
      </c>
      <c r="D7" s="260">
        <v>35</v>
      </c>
      <c r="E7" s="260">
        <v>23</v>
      </c>
      <c r="F7" s="260">
        <v>24</v>
      </c>
      <c r="G7" s="260">
        <v>45</v>
      </c>
      <c r="H7" s="260">
        <v>34</v>
      </c>
      <c r="I7" s="260">
        <v>32</v>
      </c>
      <c r="J7" s="260">
        <v>40</v>
      </c>
      <c r="K7" s="260">
        <v>35</v>
      </c>
      <c r="L7" s="260">
        <v>67</v>
      </c>
      <c r="M7" s="260">
        <v>25</v>
      </c>
      <c r="N7" s="260">
        <v>22</v>
      </c>
      <c r="O7" s="260">
        <v>35</v>
      </c>
      <c r="P7" s="260">
        <v>23</v>
      </c>
      <c r="Q7" s="260">
        <v>24</v>
      </c>
      <c r="R7" s="260">
        <v>45</v>
      </c>
      <c r="S7" s="260">
        <v>36</v>
      </c>
      <c r="T7" s="262"/>
      <c r="V7" s="292"/>
    </row>
    <row r="8" spans="1:22">
      <c r="A8" s="266">
        <v>43647</v>
      </c>
      <c r="B8" s="260">
        <v>45</v>
      </c>
      <c r="C8" s="260">
        <v>36</v>
      </c>
      <c r="D8" s="260">
        <v>34</v>
      </c>
      <c r="E8" s="260">
        <v>32</v>
      </c>
      <c r="F8" s="260">
        <v>40</v>
      </c>
      <c r="G8" s="260">
        <v>35</v>
      </c>
      <c r="H8" s="260">
        <v>67</v>
      </c>
      <c r="I8" s="260">
        <v>56</v>
      </c>
      <c r="J8" s="260">
        <v>34</v>
      </c>
      <c r="K8" s="260">
        <v>55</v>
      </c>
      <c r="L8" s="260">
        <v>67</v>
      </c>
      <c r="M8" s="260">
        <v>44</v>
      </c>
      <c r="N8" s="260">
        <v>68</v>
      </c>
      <c r="O8" s="260">
        <v>46</v>
      </c>
      <c r="P8" s="260">
        <v>45</v>
      </c>
      <c r="Q8" s="260"/>
      <c r="R8" s="260"/>
      <c r="S8" s="260"/>
      <c r="T8" s="262"/>
      <c r="V8" s="292"/>
    </row>
    <row r="9" spans="1:22">
      <c r="A9" s="261">
        <v>43678</v>
      </c>
      <c r="B9" s="260">
        <v>34</v>
      </c>
      <c r="C9" s="260">
        <v>32</v>
      </c>
      <c r="D9" s="260">
        <v>40</v>
      </c>
      <c r="E9" s="260">
        <v>35</v>
      </c>
      <c r="F9" s="260">
        <v>67</v>
      </c>
      <c r="G9" s="260">
        <v>54</v>
      </c>
      <c r="H9" s="260">
        <v>57</v>
      </c>
      <c r="I9" s="260">
        <v>59</v>
      </c>
      <c r="J9" s="260">
        <v>45</v>
      </c>
      <c r="K9" s="260">
        <v>44</v>
      </c>
      <c r="L9" s="260">
        <v>67</v>
      </c>
      <c r="M9" s="260">
        <v>47</v>
      </c>
      <c r="N9" s="260">
        <v>53</v>
      </c>
      <c r="O9" s="260">
        <v>55</v>
      </c>
      <c r="P9" s="260">
        <v>43</v>
      </c>
      <c r="Q9" s="260">
        <v>22</v>
      </c>
      <c r="R9" s="260">
        <v>67</v>
      </c>
      <c r="S9" s="260"/>
      <c r="T9" s="262"/>
      <c r="V9" s="292"/>
    </row>
    <row r="10" spans="1:22">
      <c r="A10" s="266">
        <v>43709</v>
      </c>
      <c r="B10" s="260">
        <v>25</v>
      </c>
      <c r="C10" s="260">
        <v>22</v>
      </c>
      <c r="D10" s="260">
        <v>35</v>
      </c>
      <c r="E10" s="260">
        <v>23</v>
      </c>
      <c r="F10" s="260">
        <v>24</v>
      </c>
      <c r="G10" s="260">
        <v>45</v>
      </c>
      <c r="H10" s="260">
        <v>36</v>
      </c>
      <c r="I10" s="260">
        <v>34</v>
      </c>
      <c r="J10" s="260">
        <v>32</v>
      </c>
      <c r="K10" s="260">
        <v>40</v>
      </c>
      <c r="L10" s="260">
        <v>35</v>
      </c>
      <c r="M10" s="260">
        <v>67</v>
      </c>
      <c r="N10" s="260"/>
      <c r="O10" s="260"/>
      <c r="P10" s="260"/>
      <c r="Q10" s="260"/>
      <c r="R10" s="260"/>
      <c r="S10" s="260"/>
      <c r="T10" s="262"/>
      <c r="V10" s="292"/>
    </row>
    <row r="11" spans="1:22">
      <c r="A11" s="261">
        <v>43739</v>
      </c>
      <c r="B11" s="260">
        <v>25</v>
      </c>
      <c r="C11" s="260">
        <v>22</v>
      </c>
      <c r="D11" s="260">
        <v>35</v>
      </c>
      <c r="E11" s="260">
        <v>23</v>
      </c>
      <c r="F11" s="260">
        <v>24</v>
      </c>
      <c r="G11" s="260">
        <v>45</v>
      </c>
      <c r="H11" s="260">
        <v>36</v>
      </c>
      <c r="I11" s="260">
        <v>34</v>
      </c>
      <c r="J11" s="260">
        <v>32</v>
      </c>
      <c r="K11" s="260">
        <v>40</v>
      </c>
      <c r="L11" s="260">
        <v>35</v>
      </c>
      <c r="M11" s="260">
        <v>67</v>
      </c>
      <c r="N11" s="260">
        <v>25</v>
      </c>
      <c r="O11" s="260">
        <v>22</v>
      </c>
      <c r="P11" s="260">
        <v>35</v>
      </c>
      <c r="Q11" s="260">
        <v>23</v>
      </c>
      <c r="R11" s="260">
        <v>24</v>
      </c>
      <c r="S11" s="260">
        <v>45</v>
      </c>
      <c r="T11" s="262">
        <v>36</v>
      </c>
      <c r="V11" s="292"/>
    </row>
    <row r="12" spans="1:22">
      <c r="A12" s="266">
        <v>43770</v>
      </c>
      <c r="B12" s="260">
        <v>45</v>
      </c>
      <c r="C12" s="260">
        <v>36</v>
      </c>
      <c r="D12" s="260">
        <v>34</v>
      </c>
      <c r="E12" s="260">
        <v>32</v>
      </c>
      <c r="F12" s="260">
        <v>40</v>
      </c>
      <c r="G12" s="260">
        <v>35</v>
      </c>
      <c r="H12" s="260">
        <v>67</v>
      </c>
      <c r="I12" s="260">
        <v>56</v>
      </c>
      <c r="J12" s="260">
        <v>34</v>
      </c>
      <c r="K12" s="260">
        <v>55</v>
      </c>
      <c r="L12" s="260">
        <v>67</v>
      </c>
      <c r="M12" s="260">
        <v>44</v>
      </c>
      <c r="N12" s="260">
        <v>68</v>
      </c>
      <c r="O12" s="260">
        <v>46</v>
      </c>
      <c r="P12" s="260">
        <v>45</v>
      </c>
      <c r="Q12" s="260"/>
      <c r="R12" s="260"/>
      <c r="S12" s="260"/>
      <c r="T12" s="262"/>
      <c r="V12" s="292"/>
    </row>
    <row r="13" spans="1:22" ht="13.5" thickBot="1">
      <c r="A13" s="263">
        <v>43800</v>
      </c>
      <c r="B13" s="264">
        <v>34</v>
      </c>
      <c r="C13" s="264">
        <v>32</v>
      </c>
      <c r="D13" s="264">
        <v>40</v>
      </c>
      <c r="E13" s="264">
        <v>35</v>
      </c>
      <c r="F13" s="264">
        <v>67</v>
      </c>
      <c r="G13" s="264">
        <v>54</v>
      </c>
      <c r="H13" s="264">
        <v>57</v>
      </c>
      <c r="I13" s="264">
        <v>59</v>
      </c>
      <c r="J13" s="264">
        <v>45</v>
      </c>
      <c r="K13" s="264">
        <v>44</v>
      </c>
      <c r="L13" s="264">
        <v>67</v>
      </c>
      <c r="M13" s="264">
        <v>47</v>
      </c>
      <c r="N13" s="264">
        <v>53</v>
      </c>
      <c r="O13" s="264">
        <v>55</v>
      </c>
      <c r="P13" s="264">
        <v>43</v>
      </c>
      <c r="Q13" s="264">
        <v>22</v>
      </c>
      <c r="R13" s="264">
        <v>67</v>
      </c>
      <c r="S13" s="264"/>
      <c r="T13" s="265"/>
      <c r="V13" s="292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9"/>
  <dimension ref="A1:I34"/>
  <sheetViews>
    <sheetView showGridLines="0" workbookViewId="0">
      <selection sqref="A1:E31"/>
    </sheetView>
  </sheetViews>
  <sheetFormatPr defaultRowHeight="12.75"/>
  <cols>
    <col min="1" max="1" width="14.6640625" style="1" bestFit="1" customWidth="1"/>
    <col min="2" max="2" width="8.83203125" style="1" customWidth="1"/>
    <col min="3" max="3" width="6.83203125" style="1" customWidth="1"/>
    <col min="4" max="4" width="7.6640625" style="1" customWidth="1"/>
    <col min="5" max="5" width="6.83203125" style="1" customWidth="1"/>
    <col min="6" max="6" width="7.6640625" style="1" customWidth="1"/>
    <col min="7" max="7" width="8" style="1" customWidth="1"/>
    <col min="8" max="8" width="7.6640625" style="1" customWidth="1"/>
    <col min="9" max="9" width="8.5" style="1" customWidth="1"/>
    <col min="10" max="10" width="8" style="1" customWidth="1"/>
    <col min="11" max="11" width="8.33203125" style="1" customWidth="1"/>
    <col min="12" max="13" width="6.83203125" style="1" customWidth="1"/>
    <col min="14" max="14" width="7.5" style="1" customWidth="1"/>
    <col min="15" max="15" width="6.83203125" style="1" customWidth="1"/>
    <col min="16" max="16" width="7.5" style="1" customWidth="1"/>
    <col min="17" max="17" width="8.5" style="1" customWidth="1"/>
    <col min="18" max="18" width="8" style="1" customWidth="1"/>
    <col min="19" max="19" width="6.5" style="1" customWidth="1"/>
    <col min="20" max="20" width="8" style="1" customWidth="1"/>
    <col min="21" max="21" width="7.33203125" style="1" customWidth="1"/>
    <col min="22" max="22" width="8" style="1" customWidth="1"/>
    <col min="23" max="23" width="6.83203125" style="1" customWidth="1"/>
    <col min="24" max="24" width="7.83203125" style="1" customWidth="1"/>
    <col min="25" max="26" width="8.1640625" style="1" customWidth="1"/>
    <col min="27" max="27" width="7.6640625" style="1" customWidth="1"/>
    <col min="28" max="28" width="7.83203125" style="1" customWidth="1"/>
    <col min="29" max="29" width="7.5" style="1" customWidth="1"/>
    <col min="30" max="30" width="7" style="1" customWidth="1"/>
    <col min="31" max="31" width="7.5" style="1" customWidth="1"/>
    <col min="32" max="32" width="7.1640625" style="1" customWidth="1"/>
    <col min="33" max="33" width="8.83203125" style="1" customWidth="1"/>
    <col min="34" max="34" width="10.5" style="1" customWidth="1"/>
    <col min="35" max="16384" width="9.33203125" style="1"/>
  </cols>
  <sheetData>
    <row r="1" spans="1:9" ht="13.5" thickBot="1">
      <c r="A1" s="287" t="s">
        <v>30</v>
      </c>
      <c r="B1" s="288" t="s">
        <v>31</v>
      </c>
      <c r="C1" s="288" t="s">
        <v>32</v>
      </c>
      <c r="D1" s="288" t="s">
        <v>33</v>
      </c>
      <c r="E1" s="289" t="s">
        <v>34</v>
      </c>
      <c r="F1" s="346" t="s">
        <v>35</v>
      </c>
      <c r="G1" s="347"/>
      <c r="H1" s="347"/>
      <c r="I1" s="348"/>
    </row>
    <row r="2" spans="1:9">
      <c r="A2" s="272">
        <v>1</v>
      </c>
      <c r="B2" s="21">
        <v>-1.5</v>
      </c>
      <c r="C2" s="21">
        <v>0</v>
      </c>
      <c r="D2" s="21">
        <v>0</v>
      </c>
      <c r="E2" s="73">
        <v>0</v>
      </c>
    </row>
    <row r="3" spans="1:9" ht="13.5" thickBot="1">
      <c r="A3" s="272">
        <v>2</v>
      </c>
      <c r="B3" s="21">
        <v>-0.5</v>
      </c>
      <c r="C3" s="21">
        <v>-0.5</v>
      </c>
      <c r="D3" s="21">
        <v>-0.5</v>
      </c>
      <c r="E3" s="73">
        <v>0</v>
      </c>
      <c r="F3" s="1" t="s">
        <v>36</v>
      </c>
    </row>
    <row r="4" spans="1:9">
      <c r="A4" s="272">
        <v>3</v>
      </c>
      <c r="B4" s="21">
        <v>0</v>
      </c>
      <c r="C4" s="21">
        <v>0</v>
      </c>
      <c r="D4" s="21">
        <v>0</v>
      </c>
      <c r="E4" s="73">
        <v>0</v>
      </c>
      <c r="G4" s="65"/>
      <c r="H4" s="290" t="s">
        <v>37</v>
      </c>
      <c r="I4" s="291" t="s">
        <v>38</v>
      </c>
    </row>
    <row r="5" spans="1:9">
      <c r="A5" s="272">
        <v>4</v>
      </c>
      <c r="B5" s="21">
        <v>0</v>
      </c>
      <c r="C5" s="21">
        <v>0</v>
      </c>
      <c r="D5" s="21">
        <v>0</v>
      </c>
      <c r="E5" s="73">
        <v>0</v>
      </c>
      <c r="G5" s="279" t="s">
        <v>31</v>
      </c>
      <c r="H5" s="278">
        <f>COUNTIF(B2:B32,"&gt;0")</f>
        <v>1</v>
      </c>
      <c r="I5" s="280">
        <f>COUNTIF(B2:B32,"&lt;0")</f>
        <v>13</v>
      </c>
    </row>
    <row r="6" spans="1:9">
      <c r="A6" s="272">
        <v>5</v>
      </c>
      <c r="B6" s="21">
        <v>0</v>
      </c>
      <c r="C6" s="21">
        <v>-1</v>
      </c>
      <c r="D6" s="21">
        <v>0</v>
      </c>
      <c r="E6" s="73">
        <v>0</v>
      </c>
      <c r="G6" s="279" t="s">
        <v>39</v>
      </c>
      <c r="H6" s="278">
        <f>COUNTIF(C2:D32,"&gt;0")</f>
        <v>2</v>
      </c>
      <c r="I6" s="280">
        <f>COUNTIF(C2:D32,"&lt;0")</f>
        <v>28</v>
      </c>
    </row>
    <row r="7" spans="1:9" ht="13.5" thickBot="1">
      <c r="A7" s="272">
        <v>6</v>
      </c>
      <c r="B7" s="21">
        <v>-0.5</v>
      </c>
      <c r="C7" s="21">
        <v>-0.5</v>
      </c>
      <c r="D7" s="21">
        <v>0</v>
      </c>
      <c r="E7" s="73">
        <v>0</v>
      </c>
      <c r="G7" s="281" t="s">
        <v>34</v>
      </c>
      <c r="H7" s="282">
        <f>COUNTIF(E2:E32,"&gt;0")</f>
        <v>4</v>
      </c>
      <c r="I7" s="283">
        <f>COUNTIF(E2:E32,"&lt;0")</f>
        <v>2</v>
      </c>
    </row>
    <row r="8" spans="1:9" ht="13.5" thickBot="1">
      <c r="A8" s="272">
        <v>7</v>
      </c>
      <c r="B8" s="21">
        <v>0</v>
      </c>
      <c r="C8" s="21">
        <v>0.5</v>
      </c>
      <c r="D8" s="21">
        <v>0</v>
      </c>
      <c r="E8" s="73">
        <v>0</v>
      </c>
    </row>
    <row r="9" spans="1:9" ht="13.5" thickBot="1">
      <c r="A9" s="272">
        <v>8</v>
      </c>
      <c r="B9" s="21">
        <v>0</v>
      </c>
      <c r="C9" s="21">
        <v>0</v>
      </c>
      <c r="D9" s="21">
        <v>0</v>
      </c>
      <c r="E9" s="73">
        <v>0</v>
      </c>
      <c r="G9" s="284" t="s">
        <v>3</v>
      </c>
      <c r="H9" s="285">
        <f>SUM(H5:H7)</f>
        <v>7</v>
      </c>
      <c r="I9" s="286">
        <f>SUM(I5:I7)</f>
        <v>43</v>
      </c>
    </row>
    <row r="10" spans="1:9">
      <c r="A10" s="272">
        <v>9</v>
      </c>
      <c r="B10" s="21">
        <v>0.5</v>
      </c>
      <c r="C10" s="21">
        <v>0</v>
      </c>
      <c r="D10" s="21">
        <v>0</v>
      </c>
      <c r="E10" s="73">
        <v>0</v>
      </c>
    </row>
    <row r="11" spans="1:9">
      <c r="A11" s="272">
        <v>10</v>
      </c>
      <c r="B11" s="21">
        <v>0</v>
      </c>
      <c r="C11" s="21">
        <v>0</v>
      </c>
      <c r="D11" s="21">
        <v>0</v>
      </c>
      <c r="E11" s="73">
        <v>0</v>
      </c>
    </row>
    <row r="12" spans="1:9">
      <c r="A12" s="272">
        <v>11</v>
      </c>
      <c r="B12" s="21">
        <v>0</v>
      </c>
      <c r="C12" s="21">
        <v>0.5</v>
      </c>
      <c r="D12" s="21">
        <v>0</v>
      </c>
      <c r="E12" s="73">
        <v>0</v>
      </c>
    </row>
    <row r="13" spans="1:9">
      <c r="A13" s="272">
        <v>12</v>
      </c>
      <c r="B13" s="21">
        <v>-1.5</v>
      </c>
      <c r="C13" s="21">
        <v>0</v>
      </c>
      <c r="D13" s="21">
        <v>0</v>
      </c>
      <c r="E13" s="73">
        <v>0</v>
      </c>
      <c r="H13" s="5"/>
      <c r="I13" s="5"/>
    </row>
    <row r="14" spans="1:9">
      <c r="A14" s="272">
        <v>13</v>
      </c>
      <c r="B14" s="21">
        <v>-3</v>
      </c>
      <c r="C14" s="21">
        <v>0</v>
      </c>
      <c r="D14" s="21">
        <v>-1</v>
      </c>
      <c r="E14" s="73">
        <v>0</v>
      </c>
      <c r="H14" s="5"/>
      <c r="I14" s="5"/>
    </row>
    <row r="15" spans="1:9">
      <c r="A15" s="272">
        <v>14</v>
      </c>
      <c r="B15" s="21">
        <v>-2</v>
      </c>
      <c r="C15" s="21">
        <v>-0.5</v>
      </c>
      <c r="D15" s="21">
        <v>-1</v>
      </c>
      <c r="E15" s="73">
        <v>0</v>
      </c>
      <c r="H15" s="5"/>
      <c r="I15" s="5"/>
    </row>
    <row r="16" spans="1:9">
      <c r="A16" s="272">
        <v>15</v>
      </c>
      <c r="B16" s="21">
        <v>-2.5</v>
      </c>
      <c r="C16" s="21">
        <v>-0.5</v>
      </c>
      <c r="D16" s="21">
        <v>-0.5</v>
      </c>
      <c r="E16" s="73">
        <v>1</v>
      </c>
      <c r="H16" s="5"/>
      <c r="I16" s="5"/>
    </row>
    <row r="17" spans="1:9">
      <c r="A17" s="272">
        <v>16</v>
      </c>
      <c r="B17" s="21">
        <v>-1.5</v>
      </c>
      <c r="C17" s="21">
        <v>0</v>
      </c>
      <c r="D17" s="21">
        <v>0</v>
      </c>
      <c r="E17" s="73">
        <v>1</v>
      </c>
      <c r="H17" s="5"/>
    </row>
    <row r="18" spans="1:9">
      <c r="A18" s="272">
        <v>17</v>
      </c>
      <c r="B18" s="21">
        <v>0</v>
      </c>
      <c r="C18" s="21">
        <v>-0.5</v>
      </c>
      <c r="D18" s="21">
        <v>0</v>
      </c>
      <c r="E18" s="73">
        <v>1</v>
      </c>
    </row>
    <row r="19" spans="1:9">
      <c r="A19" s="272">
        <v>18</v>
      </c>
      <c r="B19" s="21">
        <v>0</v>
      </c>
      <c r="C19" s="21">
        <v>0</v>
      </c>
      <c r="D19" s="21">
        <v>-0.5</v>
      </c>
      <c r="E19" s="73">
        <v>0</v>
      </c>
    </row>
    <row r="20" spans="1:9">
      <c r="A20" s="272">
        <v>19</v>
      </c>
      <c r="B20" s="21">
        <v>0</v>
      </c>
      <c r="C20" s="21">
        <v>0</v>
      </c>
      <c r="D20" s="21">
        <v>-0.5</v>
      </c>
      <c r="E20" s="73">
        <v>0</v>
      </c>
    </row>
    <row r="21" spans="1:9">
      <c r="A21" s="272">
        <v>20</v>
      </c>
      <c r="B21" s="21">
        <v>0</v>
      </c>
      <c r="C21" s="21">
        <v>-1</v>
      </c>
      <c r="D21" s="21">
        <v>-1.5</v>
      </c>
      <c r="E21" s="73">
        <v>0</v>
      </c>
    </row>
    <row r="22" spans="1:9">
      <c r="A22" s="272">
        <v>21</v>
      </c>
      <c r="B22" s="21">
        <v>0</v>
      </c>
      <c r="C22" s="21">
        <v>-0.5</v>
      </c>
      <c r="D22" s="21">
        <v>-0.5</v>
      </c>
      <c r="E22" s="73">
        <v>0</v>
      </c>
    </row>
    <row r="23" spans="1:9">
      <c r="A23" s="272">
        <v>22</v>
      </c>
      <c r="B23" s="21">
        <v>-1</v>
      </c>
      <c r="C23" s="21">
        <v>-0.5</v>
      </c>
      <c r="D23" s="21">
        <v>-0.5</v>
      </c>
      <c r="E23" s="73">
        <v>-0.5</v>
      </c>
    </row>
    <row r="24" spans="1:9">
      <c r="A24" s="272">
        <v>23</v>
      </c>
      <c r="B24" s="21">
        <v>-1</v>
      </c>
      <c r="C24" s="21">
        <v>-0.5</v>
      </c>
      <c r="D24" s="21">
        <v>0</v>
      </c>
      <c r="E24" s="73">
        <v>0</v>
      </c>
    </row>
    <row r="25" spans="1:9">
      <c r="A25" s="272">
        <v>24</v>
      </c>
      <c r="B25" s="21">
        <v>0</v>
      </c>
      <c r="C25" s="21">
        <v>0</v>
      </c>
      <c r="D25" s="21">
        <v>-0.5</v>
      </c>
      <c r="E25" s="73">
        <v>0</v>
      </c>
    </row>
    <row r="26" spans="1:9">
      <c r="A26" s="272">
        <v>25</v>
      </c>
      <c r="B26" s="21">
        <v>-1</v>
      </c>
      <c r="C26" s="21">
        <v>-2</v>
      </c>
      <c r="D26" s="21">
        <v>-1</v>
      </c>
      <c r="E26" s="73">
        <v>-1</v>
      </c>
    </row>
    <row r="27" spans="1:9">
      <c r="A27" s="272">
        <v>26</v>
      </c>
      <c r="B27" s="21">
        <v>-0.5</v>
      </c>
      <c r="C27" s="21">
        <v>-0.5</v>
      </c>
      <c r="D27" s="21">
        <v>-0.5</v>
      </c>
      <c r="E27" s="73">
        <v>0</v>
      </c>
    </row>
    <row r="28" spans="1:9">
      <c r="A28" s="272">
        <v>27</v>
      </c>
      <c r="B28" s="21">
        <v>0</v>
      </c>
      <c r="C28" s="21">
        <v>0</v>
      </c>
      <c r="D28" s="21">
        <v>0</v>
      </c>
      <c r="E28" s="73">
        <v>0</v>
      </c>
    </row>
    <row r="29" spans="1:9">
      <c r="A29" s="272">
        <v>28</v>
      </c>
      <c r="B29" s="21">
        <v>0</v>
      </c>
      <c r="C29" s="21">
        <v>0</v>
      </c>
      <c r="D29" s="21">
        <v>-0.5</v>
      </c>
      <c r="E29" s="73">
        <v>0</v>
      </c>
    </row>
    <row r="30" spans="1:9">
      <c r="A30" s="272">
        <v>29</v>
      </c>
      <c r="B30" s="21">
        <v>-1</v>
      </c>
      <c r="C30" s="21">
        <v>-0.5</v>
      </c>
      <c r="D30" s="21">
        <v>-0.5</v>
      </c>
      <c r="E30" s="73">
        <v>0</v>
      </c>
      <c r="I30" s="5"/>
    </row>
    <row r="31" spans="1:9" ht="13.5" thickBot="1">
      <c r="A31" s="273">
        <v>30</v>
      </c>
      <c r="B31" s="274">
        <v>0</v>
      </c>
      <c r="C31" s="274">
        <v>0</v>
      </c>
      <c r="D31" s="274">
        <v>-0.5</v>
      </c>
      <c r="E31" s="74">
        <v>0.5</v>
      </c>
      <c r="I31" s="5"/>
    </row>
    <row r="32" spans="1:9" ht="13.5" thickBot="1">
      <c r="A32" s="4"/>
      <c r="B32" s="5"/>
      <c r="C32" s="5"/>
      <c r="D32" s="5"/>
      <c r="E32" s="5"/>
      <c r="I32" s="5"/>
    </row>
    <row r="33" spans="1:9">
      <c r="A33" s="78" t="s">
        <v>3</v>
      </c>
      <c r="B33" s="275">
        <f>SUM(B2:B32)</f>
        <v>-17</v>
      </c>
      <c r="C33" s="275">
        <f>SUM(C2:C32)</f>
        <v>-8</v>
      </c>
      <c r="D33" s="275">
        <f>SUM(D2:D32)</f>
        <v>-10</v>
      </c>
      <c r="E33" s="276">
        <f>SUM(E2:E32)</f>
        <v>2</v>
      </c>
    </row>
    <row r="34" spans="1:9" ht="13.5" thickBot="1">
      <c r="A34" s="277" t="s">
        <v>40</v>
      </c>
      <c r="B34" s="274">
        <f>-B33</f>
        <v>17</v>
      </c>
      <c r="C34" s="274">
        <f>-C33</f>
        <v>8</v>
      </c>
      <c r="D34" s="274">
        <f>-D33</f>
        <v>10</v>
      </c>
      <c r="E34" s="74">
        <f>-E33</f>
        <v>-2</v>
      </c>
      <c r="I34" s="5"/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X50"/>
  <sheetViews>
    <sheetView showGridLines="0" workbookViewId="0">
      <selection sqref="A1:B6"/>
    </sheetView>
  </sheetViews>
  <sheetFormatPr defaultColWidth="10.6640625" defaultRowHeight="12.75"/>
  <cols>
    <col min="1" max="1" width="40.83203125" style="25" bestFit="1" customWidth="1"/>
    <col min="2" max="2" width="13.33203125" style="25" bestFit="1" customWidth="1"/>
    <col min="3" max="3" width="13" style="25" customWidth="1"/>
    <col min="4" max="4" width="13.33203125" style="25" customWidth="1"/>
    <col min="5" max="5" width="35.5" style="25" bestFit="1" customWidth="1"/>
    <col min="6" max="6" width="14.6640625" style="25" customWidth="1"/>
    <col min="7" max="7" width="15.33203125" style="25" customWidth="1"/>
    <col min="8" max="8" width="14.83203125" style="25" customWidth="1"/>
    <col min="9" max="10" width="10.6640625" style="25" customWidth="1"/>
    <col min="11" max="11" width="15.1640625" style="25" customWidth="1"/>
    <col min="12" max="12" width="10.6640625" style="25" customWidth="1"/>
    <col min="13" max="13" width="13.33203125" style="25" bestFit="1" customWidth="1"/>
    <col min="14" max="15" width="10.6640625" style="25" customWidth="1"/>
    <col min="16" max="16" width="30.1640625" style="25" bestFit="1" customWidth="1"/>
    <col min="17" max="17" width="15.33203125" style="25" customWidth="1"/>
    <col min="18" max="18" width="14" style="25" customWidth="1"/>
    <col min="19" max="19" width="20.1640625" style="25" bestFit="1" customWidth="1"/>
    <col min="20" max="20" width="13.33203125" style="25" customWidth="1"/>
    <col min="21" max="21" width="8.6640625" style="25" customWidth="1"/>
    <col min="22" max="22" width="10.6640625" style="25" customWidth="1"/>
    <col min="23" max="23" width="37.33203125" style="25" bestFit="1" customWidth="1"/>
    <col min="24" max="24" width="13.5" style="25" customWidth="1"/>
    <col min="25" max="16384" width="10.6640625" style="25"/>
  </cols>
  <sheetData>
    <row r="1" spans="1:24" ht="39" thickBot="1">
      <c r="A1" s="104"/>
      <c r="B1" s="102" t="s">
        <v>107</v>
      </c>
      <c r="C1" s="23"/>
      <c r="D1" s="23"/>
      <c r="E1" s="104"/>
      <c r="F1" s="105" t="s">
        <v>1217</v>
      </c>
      <c r="G1" s="105" t="s">
        <v>1218</v>
      </c>
      <c r="H1" s="102" t="s">
        <v>1219</v>
      </c>
      <c r="I1" s="23"/>
      <c r="J1" s="104"/>
      <c r="K1" s="102" t="s">
        <v>108</v>
      </c>
      <c r="L1" s="23"/>
      <c r="M1" s="104" t="s">
        <v>280</v>
      </c>
      <c r="N1" s="102" t="s">
        <v>281</v>
      </c>
      <c r="P1" s="144" t="s">
        <v>328</v>
      </c>
      <c r="Q1" s="146" t="s">
        <v>329</v>
      </c>
      <c r="R1" s="146" t="s">
        <v>330</v>
      </c>
      <c r="S1" s="146" t="s">
        <v>331</v>
      </c>
      <c r="T1" s="146" t="s">
        <v>332</v>
      </c>
      <c r="U1" s="145" t="s">
        <v>119</v>
      </c>
      <c r="W1" s="144"/>
      <c r="X1" s="145" t="s">
        <v>392</v>
      </c>
    </row>
    <row r="2" spans="1:24">
      <c r="A2" s="89" t="s">
        <v>109</v>
      </c>
      <c r="B2" s="135">
        <v>7849569.3499999996</v>
      </c>
      <c r="C2" s="23"/>
      <c r="D2" s="23"/>
      <c r="E2" s="89" t="s">
        <v>75</v>
      </c>
      <c r="F2" s="92">
        <v>41</v>
      </c>
      <c r="G2" s="92">
        <v>25</v>
      </c>
      <c r="H2" s="90">
        <v>5</v>
      </c>
      <c r="I2" s="23"/>
      <c r="J2" s="89" t="s">
        <v>110</v>
      </c>
      <c r="K2" s="90">
        <v>226</v>
      </c>
      <c r="L2" s="23"/>
      <c r="M2" s="89" t="s">
        <v>282</v>
      </c>
      <c r="N2" s="90">
        <v>22063</v>
      </c>
      <c r="P2" s="140" t="s">
        <v>333</v>
      </c>
      <c r="Q2" s="141">
        <v>0</v>
      </c>
      <c r="R2" s="141">
        <v>0</v>
      </c>
      <c r="S2" s="141">
        <v>38</v>
      </c>
      <c r="T2" s="141">
        <v>6</v>
      </c>
      <c r="U2" s="142">
        <v>7</v>
      </c>
      <c r="W2" s="140" t="s">
        <v>393</v>
      </c>
      <c r="X2" s="142">
        <v>55</v>
      </c>
    </row>
    <row r="3" spans="1:24">
      <c r="A3" s="61" t="s">
        <v>111</v>
      </c>
      <c r="B3" s="119">
        <v>2516507.81</v>
      </c>
      <c r="C3" s="23"/>
      <c r="D3" s="23"/>
      <c r="E3" s="61" t="s">
        <v>77</v>
      </c>
      <c r="F3" s="24">
        <v>33</v>
      </c>
      <c r="G3" s="24">
        <v>13</v>
      </c>
      <c r="H3" s="62">
        <v>16</v>
      </c>
      <c r="I3" s="23"/>
      <c r="J3" s="61" t="s">
        <v>112</v>
      </c>
      <c r="K3" s="62">
        <v>71</v>
      </c>
      <c r="L3" s="23"/>
      <c r="M3" s="61" t="s">
        <v>283</v>
      </c>
      <c r="N3" s="62">
        <v>5532</v>
      </c>
      <c r="P3" s="127" t="s">
        <v>334</v>
      </c>
      <c r="Q3" s="11">
        <v>0</v>
      </c>
      <c r="R3" s="11">
        <v>3</v>
      </c>
      <c r="S3" s="11">
        <v>84</v>
      </c>
      <c r="T3" s="11">
        <v>6</v>
      </c>
      <c r="U3" s="128">
        <v>3</v>
      </c>
      <c r="W3" s="127" t="s">
        <v>394</v>
      </c>
      <c r="X3" s="128">
        <v>5</v>
      </c>
    </row>
    <row r="4" spans="1:24">
      <c r="A4" s="61" t="s">
        <v>113</v>
      </c>
      <c r="B4" s="119">
        <v>1295032.24</v>
      </c>
      <c r="C4" s="23"/>
      <c r="D4" s="23"/>
      <c r="E4" s="61" t="s">
        <v>78</v>
      </c>
      <c r="F4" s="24">
        <v>5</v>
      </c>
      <c r="G4" s="24">
        <v>1</v>
      </c>
      <c r="H4" s="62">
        <v>2</v>
      </c>
      <c r="I4" s="23"/>
      <c r="J4" s="61" t="s">
        <v>114</v>
      </c>
      <c r="K4" s="62">
        <v>58</v>
      </c>
      <c r="L4" s="23"/>
      <c r="M4" s="61" t="s">
        <v>284</v>
      </c>
      <c r="N4" s="62">
        <v>2292</v>
      </c>
      <c r="P4" s="127" t="s">
        <v>335</v>
      </c>
      <c r="Q4" s="11">
        <v>0</v>
      </c>
      <c r="R4" s="11">
        <v>0</v>
      </c>
      <c r="S4" s="11">
        <v>9</v>
      </c>
      <c r="T4" s="11">
        <v>2</v>
      </c>
      <c r="U4" s="128">
        <v>7</v>
      </c>
      <c r="W4" s="127" t="s">
        <v>395</v>
      </c>
      <c r="X4" s="128">
        <v>3</v>
      </c>
    </row>
    <row r="5" spans="1:24">
      <c r="A5" s="61" t="s">
        <v>115</v>
      </c>
      <c r="B5" s="119">
        <v>750766.26</v>
      </c>
      <c r="C5" s="23"/>
      <c r="D5" s="23"/>
      <c r="E5" s="61" t="s">
        <v>79</v>
      </c>
      <c r="F5" s="24">
        <v>5</v>
      </c>
      <c r="G5" s="24">
        <v>1</v>
      </c>
      <c r="H5" s="62">
        <v>0</v>
      </c>
      <c r="I5" s="23"/>
      <c r="J5" s="61" t="s">
        <v>116</v>
      </c>
      <c r="K5" s="62">
        <v>44</v>
      </c>
      <c r="L5" s="23"/>
      <c r="M5" s="61" t="s">
        <v>285</v>
      </c>
      <c r="N5" s="62">
        <v>1043</v>
      </c>
      <c r="P5" s="127" t="s">
        <v>336</v>
      </c>
      <c r="Q5" s="11">
        <v>1</v>
      </c>
      <c r="R5" s="11">
        <v>0</v>
      </c>
      <c r="S5" s="11">
        <v>9</v>
      </c>
      <c r="T5" s="11">
        <v>1</v>
      </c>
      <c r="U5" s="128">
        <v>1</v>
      </c>
      <c r="W5" s="127" t="s">
        <v>396</v>
      </c>
      <c r="X5" s="128">
        <v>18</v>
      </c>
    </row>
    <row r="6" spans="1:24" ht="13.5" thickBot="1">
      <c r="A6" s="63" t="s">
        <v>117</v>
      </c>
      <c r="B6" s="120">
        <v>336270.09</v>
      </c>
      <c r="C6" s="23"/>
      <c r="D6" s="23"/>
      <c r="E6" s="61" t="s">
        <v>80</v>
      </c>
      <c r="F6" s="24">
        <v>3</v>
      </c>
      <c r="G6" s="24">
        <v>5</v>
      </c>
      <c r="H6" s="62">
        <v>4</v>
      </c>
      <c r="I6" s="23"/>
      <c r="J6" s="61" t="s">
        <v>118</v>
      </c>
      <c r="K6" s="62">
        <v>39</v>
      </c>
      <c r="L6" s="23"/>
      <c r="M6" s="63" t="s">
        <v>286</v>
      </c>
      <c r="N6" s="64">
        <v>673</v>
      </c>
      <c r="P6" s="127" t="s">
        <v>337</v>
      </c>
      <c r="Q6" s="11">
        <v>1</v>
      </c>
      <c r="R6" s="11">
        <v>0</v>
      </c>
      <c r="S6" s="11">
        <v>3</v>
      </c>
      <c r="T6" s="11">
        <v>1</v>
      </c>
      <c r="U6" s="128">
        <v>11</v>
      </c>
      <c r="W6" s="127" t="s">
        <v>397</v>
      </c>
      <c r="X6" s="128">
        <v>13</v>
      </c>
    </row>
    <row r="7" spans="1:24" ht="13.5" thickBot="1">
      <c r="A7" s="23"/>
      <c r="B7" s="23"/>
      <c r="C7" s="23"/>
      <c r="D7" s="23"/>
      <c r="E7" s="61" t="s">
        <v>81</v>
      </c>
      <c r="F7" s="24">
        <v>3</v>
      </c>
      <c r="G7" s="24">
        <v>0</v>
      </c>
      <c r="H7" s="62">
        <v>0</v>
      </c>
      <c r="I7" s="23"/>
      <c r="J7" s="63" t="s">
        <v>119</v>
      </c>
      <c r="K7" s="64">
        <v>16</v>
      </c>
      <c r="L7" s="23"/>
      <c r="M7" s="23"/>
      <c r="P7" s="127" t="s">
        <v>338</v>
      </c>
      <c r="Q7" s="11">
        <v>0</v>
      </c>
      <c r="R7" s="11">
        <v>0</v>
      </c>
      <c r="S7" s="11">
        <v>6</v>
      </c>
      <c r="T7" s="11">
        <v>0</v>
      </c>
      <c r="U7" s="128">
        <v>7</v>
      </c>
      <c r="W7" s="127" t="s">
        <v>398</v>
      </c>
      <c r="X7" s="128">
        <v>12</v>
      </c>
    </row>
    <row r="8" spans="1:24" ht="13.5" thickBot="1">
      <c r="A8" s="104" t="s">
        <v>120</v>
      </c>
      <c r="B8" s="102" t="s">
        <v>121</v>
      </c>
      <c r="C8" s="23"/>
      <c r="D8" s="23"/>
      <c r="E8" s="61" t="s">
        <v>82</v>
      </c>
      <c r="F8" s="24">
        <v>1</v>
      </c>
      <c r="G8" s="24">
        <v>3</v>
      </c>
      <c r="H8" s="62">
        <v>2</v>
      </c>
      <c r="I8" s="23"/>
      <c r="J8" s="23"/>
      <c r="K8" s="23"/>
      <c r="L8" s="23"/>
      <c r="M8" s="23"/>
      <c r="P8" s="127" t="s">
        <v>339</v>
      </c>
      <c r="Q8" s="11">
        <v>0</v>
      </c>
      <c r="R8" s="11">
        <v>71</v>
      </c>
      <c r="S8" s="11">
        <v>3</v>
      </c>
      <c r="T8" s="11">
        <v>5</v>
      </c>
      <c r="U8" s="128">
        <v>13</v>
      </c>
      <c r="W8" s="127" t="s">
        <v>399</v>
      </c>
      <c r="X8" s="128">
        <v>16</v>
      </c>
    </row>
    <row r="9" spans="1:24">
      <c r="A9" s="89" t="s">
        <v>122</v>
      </c>
      <c r="B9" s="90">
        <v>23</v>
      </c>
      <c r="C9" s="23"/>
      <c r="D9" s="23"/>
      <c r="E9" s="61" t="s">
        <v>83</v>
      </c>
      <c r="F9" s="24">
        <v>0</v>
      </c>
      <c r="G9" s="24">
        <v>2</v>
      </c>
      <c r="H9" s="62">
        <v>1</v>
      </c>
      <c r="I9" s="23"/>
      <c r="J9" s="23"/>
      <c r="K9" s="23"/>
      <c r="L9" s="23"/>
      <c r="M9" s="23"/>
      <c r="P9" s="127" t="s">
        <v>340</v>
      </c>
      <c r="Q9" s="11">
        <v>1</v>
      </c>
      <c r="R9" s="11">
        <v>7</v>
      </c>
      <c r="S9" s="11">
        <v>18</v>
      </c>
      <c r="T9" s="11">
        <v>0</v>
      </c>
      <c r="U9" s="128">
        <v>8</v>
      </c>
      <c r="W9" s="127" t="s">
        <v>400</v>
      </c>
      <c r="X9" s="128">
        <v>174</v>
      </c>
    </row>
    <row r="10" spans="1:24" ht="13.5" thickBot="1">
      <c r="A10" s="61" t="s">
        <v>123</v>
      </c>
      <c r="B10" s="62">
        <v>1</v>
      </c>
      <c r="C10" s="23"/>
      <c r="D10" s="23"/>
      <c r="E10" s="63" t="s">
        <v>84</v>
      </c>
      <c r="F10" s="67">
        <v>0</v>
      </c>
      <c r="G10" s="67">
        <v>2</v>
      </c>
      <c r="H10" s="64">
        <v>0</v>
      </c>
      <c r="I10" s="23"/>
      <c r="J10" s="23"/>
      <c r="K10" s="23"/>
      <c r="L10" s="23"/>
      <c r="M10" s="23"/>
      <c r="P10" s="127" t="s">
        <v>341</v>
      </c>
      <c r="Q10" s="11">
        <v>1</v>
      </c>
      <c r="R10" s="11">
        <v>27</v>
      </c>
      <c r="S10" s="11">
        <v>3</v>
      </c>
      <c r="T10" s="11">
        <v>0</v>
      </c>
      <c r="U10" s="128">
        <v>0</v>
      </c>
      <c r="W10" s="127" t="s">
        <v>401</v>
      </c>
      <c r="X10" s="128">
        <v>7</v>
      </c>
    </row>
    <row r="11" spans="1:24">
      <c r="A11" s="61" t="s">
        <v>124</v>
      </c>
      <c r="B11" s="62">
        <v>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P11" s="127" t="s">
        <v>342</v>
      </c>
      <c r="Q11" s="11">
        <v>1</v>
      </c>
      <c r="R11" s="11">
        <v>40</v>
      </c>
      <c r="S11" s="11">
        <v>0</v>
      </c>
      <c r="T11" s="11">
        <v>0</v>
      </c>
      <c r="U11" s="128">
        <v>1</v>
      </c>
      <c r="W11" s="127" t="s">
        <v>402</v>
      </c>
      <c r="X11" s="128">
        <v>25</v>
      </c>
    </row>
    <row r="12" spans="1:24" ht="13.5" thickBot="1">
      <c r="A12" s="63" t="s">
        <v>125</v>
      </c>
      <c r="B12" s="64">
        <v>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P12" s="127" t="s">
        <v>343</v>
      </c>
      <c r="Q12" s="11">
        <v>3</v>
      </c>
      <c r="R12" s="11">
        <v>25</v>
      </c>
      <c r="S12" s="11">
        <v>23</v>
      </c>
      <c r="T12" s="11">
        <v>3</v>
      </c>
      <c r="U12" s="128">
        <v>9</v>
      </c>
      <c r="W12" s="127" t="s">
        <v>403</v>
      </c>
      <c r="X12" s="128">
        <v>53</v>
      </c>
    </row>
    <row r="13" spans="1:24" ht="13.5" thickBo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P13" s="127" t="s">
        <v>347</v>
      </c>
      <c r="Q13" s="11">
        <v>2</v>
      </c>
      <c r="R13" s="11">
        <v>70</v>
      </c>
      <c r="S13" s="11">
        <v>0</v>
      </c>
      <c r="T13" s="11">
        <v>5</v>
      </c>
      <c r="U13" s="128">
        <v>0</v>
      </c>
      <c r="W13" s="127" t="s">
        <v>404</v>
      </c>
      <c r="X13" s="128">
        <v>35</v>
      </c>
    </row>
    <row r="14" spans="1:24" ht="51.75" thickBot="1">
      <c r="A14" s="104" t="s">
        <v>126</v>
      </c>
      <c r="B14" s="102" t="s">
        <v>127</v>
      </c>
      <c r="C14" s="23"/>
      <c r="D14" s="23"/>
      <c r="E14" s="104"/>
      <c r="F14" s="102" t="s">
        <v>128</v>
      </c>
      <c r="G14" s="23"/>
      <c r="H14" s="23"/>
      <c r="I14" s="23"/>
      <c r="J14" s="104"/>
      <c r="K14" s="102" t="s">
        <v>129</v>
      </c>
      <c r="L14" s="134"/>
      <c r="M14" s="134"/>
      <c r="P14" s="127" t="s">
        <v>344</v>
      </c>
      <c r="Q14" s="11">
        <v>9</v>
      </c>
      <c r="R14" s="11">
        <v>0</v>
      </c>
      <c r="S14" s="11">
        <v>9</v>
      </c>
      <c r="T14" s="11">
        <v>7</v>
      </c>
      <c r="U14" s="128">
        <v>3</v>
      </c>
      <c r="W14" s="127" t="s">
        <v>405</v>
      </c>
      <c r="X14" s="128">
        <v>7</v>
      </c>
    </row>
    <row r="15" spans="1:24" ht="13.5" thickBot="1">
      <c r="A15" s="89" t="s">
        <v>130</v>
      </c>
      <c r="B15" s="90">
        <v>51</v>
      </c>
      <c r="C15" s="23"/>
      <c r="D15" s="23"/>
      <c r="E15" s="89" t="s">
        <v>131</v>
      </c>
      <c r="F15" s="90">
        <v>52</v>
      </c>
      <c r="G15" s="147" t="s">
        <v>132</v>
      </c>
      <c r="H15" s="149"/>
      <c r="I15" s="23"/>
      <c r="J15" s="89" t="s">
        <v>133</v>
      </c>
      <c r="K15" s="90">
        <v>76</v>
      </c>
      <c r="L15" s="23"/>
      <c r="M15" s="23"/>
      <c r="P15" s="127" t="s">
        <v>345</v>
      </c>
      <c r="Q15" s="11">
        <v>37</v>
      </c>
      <c r="R15" s="11">
        <v>91</v>
      </c>
      <c r="S15" s="11">
        <v>0</v>
      </c>
      <c r="T15" s="11">
        <v>6</v>
      </c>
      <c r="U15" s="128">
        <v>1</v>
      </c>
      <c r="W15" s="127" t="s">
        <v>406</v>
      </c>
      <c r="X15" s="128">
        <v>29</v>
      </c>
    </row>
    <row r="16" spans="1:24">
      <c r="A16" s="61" t="s">
        <v>134</v>
      </c>
      <c r="B16" s="62">
        <v>47</v>
      </c>
      <c r="C16" s="23"/>
      <c r="D16" s="23"/>
      <c r="E16" s="61" t="s">
        <v>135</v>
      </c>
      <c r="F16" s="62">
        <v>25</v>
      </c>
      <c r="G16" s="23"/>
      <c r="H16" s="26"/>
      <c r="I16" s="23"/>
      <c r="J16" s="61" t="s">
        <v>136</v>
      </c>
      <c r="K16" s="62">
        <v>12</v>
      </c>
      <c r="L16" s="23"/>
      <c r="M16" s="23"/>
      <c r="P16" s="127" t="s">
        <v>346</v>
      </c>
      <c r="Q16" s="11">
        <v>0</v>
      </c>
      <c r="R16" s="11">
        <v>3</v>
      </c>
      <c r="S16" s="11">
        <v>84</v>
      </c>
      <c r="T16" s="11">
        <v>30</v>
      </c>
      <c r="U16" s="128">
        <v>20</v>
      </c>
      <c r="W16" s="127" t="s">
        <v>407</v>
      </c>
      <c r="X16" s="128">
        <v>60</v>
      </c>
    </row>
    <row r="17" spans="1:24" ht="13.5" thickBot="1">
      <c r="A17" s="61" t="s">
        <v>137</v>
      </c>
      <c r="B17" s="62">
        <v>20</v>
      </c>
      <c r="C17" s="23"/>
      <c r="D17" s="23"/>
      <c r="E17" s="61" t="s">
        <v>138</v>
      </c>
      <c r="F17" s="62">
        <v>18</v>
      </c>
      <c r="G17" s="23"/>
      <c r="H17" s="23"/>
      <c r="I17" s="23"/>
      <c r="J17" s="61" t="s">
        <v>139</v>
      </c>
      <c r="K17" s="62">
        <v>11</v>
      </c>
      <c r="L17" s="23"/>
      <c r="M17" s="23"/>
      <c r="P17" s="129" t="s">
        <v>348</v>
      </c>
      <c r="Q17" s="133">
        <f>SUM(Q2:Q16)</f>
        <v>56</v>
      </c>
      <c r="R17" s="133">
        <f>SUM(R2:R16)</f>
        <v>337</v>
      </c>
      <c r="S17" s="133">
        <f>SUM(S2:S16)</f>
        <v>289</v>
      </c>
      <c r="T17" s="133">
        <f>SUM(T2:T16)</f>
        <v>72</v>
      </c>
      <c r="U17" s="130">
        <f>SUM(U2:U16)</f>
        <v>91</v>
      </c>
      <c r="W17" s="127" t="s">
        <v>408</v>
      </c>
      <c r="X17" s="128">
        <v>11</v>
      </c>
    </row>
    <row r="18" spans="1:24" ht="13.5" thickBot="1">
      <c r="A18" s="61" t="s">
        <v>78</v>
      </c>
      <c r="B18" s="62">
        <v>20</v>
      </c>
      <c r="C18" s="23"/>
      <c r="D18" s="23"/>
      <c r="E18" s="61" t="s">
        <v>140</v>
      </c>
      <c r="F18" s="62">
        <v>13</v>
      </c>
      <c r="G18" s="23"/>
      <c r="H18" s="23"/>
      <c r="I18" s="23"/>
      <c r="J18" s="61" t="s">
        <v>141</v>
      </c>
      <c r="K18" s="62">
        <v>6</v>
      </c>
      <c r="L18" s="23"/>
      <c r="M18" s="23"/>
      <c r="W18" s="127" t="s">
        <v>409</v>
      </c>
      <c r="X18" s="128">
        <v>17</v>
      </c>
    </row>
    <row r="19" spans="1:24" ht="39" thickBot="1">
      <c r="A19" s="61" t="s">
        <v>161</v>
      </c>
      <c r="B19" s="62">
        <v>19</v>
      </c>
      <c r="C19" s="23"/>
      <c r="D19" s="23"/>
      <c r="E19" s="63" t="s">
        <v>119</v>
      </c>
      <c r="F19" s="64">
        <f>126-SUM(F15:F18)</f>
        <v>18</v>
      </c>
      <c r="G19" s="23"/>
      <c r="H19" s="23"/>
      <c r="I19" s="23"/>
      <c r="J19" s="61" t="s">
        <v>142</v>
      </c>
      <c r="K19" s="62">
        <v>5</v>
      </c>
      <c r="L19" s="23"/>
      <c r="M19" s="23"/>
      <c r="P19" s="144"/>
      <c r="Q19" s="145" t="s">
        <v>351</v>
      </c>
      <c r="S19" s="144"/>
      <c r="T19" s="145" t="s">
        <v>1118</v>
      </c>
      <c r="W19" s="127" t="s">
        <v>78</v>
      </c>
      <c r="X19" s="128">
        <v>355</v>
      </c>
    </row>
    <row r="20" spans="1:24" ht="13.5" thickBot="1">
      <c r="A20" s="61" t="s">
        <v>143</v>
      </c>
      <c r="B20" s="62">
        <v>13</v>
      </c>
      <c r="C20" s="23"/>
      <c r="D20" s="23"/>
      <c r="E20" s="23"/>
      <c r="F20" s="23"/>
      <c r="G20" s="23"/>
      <c r="H20" s="23"/>
      <c r="I20" s="23"/>
      <c r="J20" s="63" t="s">
        <v>119</v>
      </c>
      <c r="K20" s="64">
        <v>6</v>
      </c>
      <c r="L20" s="23"/>
      <c r="M20" s="23"/>
      <c r="P20" s="138" t="s">
        <v>352</v>
      </c>
      <c r="Q20" s="139">
        <v>26</v>
      </c>
      <c r="S20" s="143" t="s">
        <v>1131</v>
      </c>
      <c r="T20" s="142">
        <v>12093</v>
      </c>
      <c r="W20" s="127" t="s">
        <v>410</v>
      </c>
      <c r="X20" s="128">
        <v>30</v>
      </c>
    </row>
    <row r="21" spans="1:24" ht="39" thickBot="1">
      <c r="A21" s="61" t="s">
        <v>144</v>
      </c>
      <c r="B21" s="62">
        <v>13</v>
      </c>
      <c r="C21" s="23"/>
      <c r="D21" s="23"/>
      <c r="E21" s="104"/>
      <c r="F21" s="102" t="s">
        <v>145</v>
      </c>
      <c r="G21" s="26"/>
      <c r="H21" s="23"/>
      <c r="I21" s="23"/>
      <c r="J21" s="23"/>
      <c r="K21" s="23"/>
      <c r="L21" s="23"/>
      <c r="M21" s="23"/>
      <c r="P21" s="127" t="s">
        <v>133</v>
      </c>
      <c r="Q21" s="128">
        <v>12</v>
      </c>
      <c r="S21" s="131" t="s">
        <v>1119</v>
      </c>
      <c r="T21" s="128">
        <v>6287</v>
      </c>
      <c r="W21" s="127" t="s">
        <v>411</v>
      </c>
      <c r="X21" s="128">
        <v>28</v>
      </c>
    </row>
    <row r="22" spans="1:24" ht="13.5" thickBot="1">
      <c r="A22" s="61" t="s">
        <v>146</v>
      </c>
      <c r="B22" s="62">
        <v>11</v>
      </c>
      <c r="C22" s="23"/>
      <c r="D22" s="23"/>
      <c r="E22" s="89" t="s">
        <v>147</v>
      </c>
      <c r="F22" s="90">
        <v>96</v>
      </c>
      <c r="G22" s="147" t="s">
        <v>132</v>
      </c>
      <c r="H22" s="148"/>
      <c r="I22" s="23"/>
      <c r="J22" s="23"/>
      <c r="K22" s="23"/>
      <c r="L22" s="23"/>
      <c r="M22" s="23"/>
      <c r="P22" s="127" t="s">
        <v>353</v>
      </c>
      <c r="Q22" s="128">
        <v>14</v>
      </c>
      <c r="S22" s="131" t="s">
        <v>1120</v>
      </c>
      <c r="T22" s="128">
        <v>6205</v>
      </c>
      <c r="W22" s="127" t="s">
        <v>412</v>
      </c>
      <c r="X22" s="128">
        <v>3</v>
      </c>
    </row>
    <row r="23" spans="1:24">
      <c r="A23" s="61" t="s">
        <v>148</v>
      </c>
      <c r="B23" s="62">
        <v>3</v>
      </c>
      <c r="C23" s="23"/>
      <c r="D23" s="23"/>
      <c r="E23" s="61" t="s">
        <v>149</v>
      </c>
      <c r="F23" s="62">
        <v>17</v>
      </c>
      <c r="G23" s="23"/>
      <c r="H23" s="23"/>
      <c r="I23" s="23"/>
      <c r="J23" s="23"/>
      <c r="K23" s="23"/>
      <c r="L23" s="23"/>
      <c r="M23" s="23"/>
      <c r="P23" s="125" t="s">
        <v>354</v>
      </c>
      <c r="Q23" s="126">
        <v>22</v>
      </c>
      <c r="S23" s="131" t="s">
        <v>1121</v>
      </c>
      <c r="T23" s="128">
        <v>4482</v>
      </c>
      <c r="W23" s="127" t="s">
        <v>413</v>
      </c>
      <c r="X23" s="128">
        <v>9</v>
      </c>
    </row>
    <row r="24" spans="1:24" ht="13.5" thickBot="1">
      <c r="A24" s="63" t="s">
        <v>150</v>
      </c>
      <c r="B24" s="64">
        <v>2</v>
      </c>
      <c r="C24" s="23"/>
      <c r="D24" s="23"/>
      <c r="E24" s="63" t="s">
        <v>151</v>
      </c>
      <c r="F24" s="64">
        <v>13</v>
      </c>
      <c r="G24" s="23"/>
      <c r="H24" s="23"/>
      <c r="I24" s="23"/>
      <c r="J24" s="23"/>
      <c r="K24" s="23"/>
      <c r="L24" s="23"/>
      <c r="M24" s="23"/>
      <c r="P24" s="127" t="s">
        <v>355</v>
      </c>
      <c r="Q24" s="126">
        <v>7</v>
      </c>
      <c r="S24" s="131" t="s">
        <v>1122</v>
      </c>
      <c r="T24" s="128">
        <v>2075</v>
      </c>
      <c r="W24" s="127" t="s">
        <v>414</v>
      </c>
      <c r="X24" s="128">
        <v>59</v>
      </c>
    </row>
    <row r="25" spans="1:24" ht="13.5" thickBot="1">
      <c r="A25" s="23"/>
      <c r="B25" s="23"/>
      <c r="C25" s="23"/>
      <c r="D25" s="23"/>
      <c r="E25" s="23"/>
      <c r="F25" s="23"/>
      <c r="G25" s="23"/>
      <c r="H25" s="23"/>
      <c r="I25" s="23"/>
      <c r="J25" s="352" t="s">
        <v>327</v>
      </c>
      <c r="K25" s="353"/>
      <c r="L25" s="353"/>
      <c r="M25" s="354"/>
      <c r="P25" s="127" t="s">
        <v>356</v>
      </c>
      <c r="Q25" s="128">
        <v>6</v>
      </c>
      <c r="S25" s="131" t="s">
        <v>1123</v>
      </c>
      <c r="T25" s="128">
        <v>1762</v>
      </c>
      <c r="W25" s="127" t="s">
        <v>415</v>
      </c>
      <c r="X25" s="128">
        <v>81</v>
      </c>
    </row>
    <row r="26" spans="1:24" ht="51.75" thickBot="1">
      <c r="A26" s="104"/>
      <c r="B26" s="102" t="s">
        <v>152</v>
      </c>
      <c r="C26" s="23"/>
      <c r="D26" s="23"/>
      <c r="E26" s="104"/>
      <c r="F26" s="102" t="s">
        <v>145</v>
      </c>
      <c r="G26" s="23"/>
      <c r="H26" s="23"/>
      <c r="I26" s="23"/>
      <c r="J26" s="104" t="s">
        <v>162</v>
      </c>
      <c r="K26" s="105" t="s">
        <v>163</v>
      </c>
      <c r="L26" s="105" t="s">
        <v>164</v>
      </c>
      <c r="M26" s="102" t="s">
        <v>165</v>
      </c>
      <c r="P26" s="127" t="s">
        <v>372</v>
      </c>
      <c r="Q26" s="128">
        <v>6</v>
      </c>
      <c r="S26" s="131" t="s">
        <v>1124</v>
      </c>
      <c r="T26" s="128">
        <v>360</v>
      </c>
      <c r="W26" s="127" t="s">
        <v>148</v>
      </c>
      <c r="X26" s="128">
        <v>10</v>
      </c>
    </row>
    <row r="27" spans="1:24">
      <c r="A27" s="89" t="s">
        <v>153</v>
      </c>
      <c r="B27" s="90">
        <v>43</v>
      </c>
      <c r="C27" s="23"/>
      <c r="D27" s="23"/>
      <c r="E27" s="136" t="s">
        <v>446</v>
      </c>
      <c r="F27" s="90">
        <v>34</v>
      </c>
      <c r="G27" s="23"/>
      <c r="H27" s="23"/>
      <c r="I27" s="23"/>
      <c r="J27" s="89" t="s">
        <v>66</v>
      </c>
      <c r="K27" s="92">
        <v>180</v>
      </c>
      <c r="L27" s="92">
        <v>361</v>
      </c>
      <c r="M27" s="137">
        <f>K27*L27/1000</f>
        <v>64.98</v>
      </c>
      <c r="P27" s="127" t="s">
        <v>357</v>
      </c>
      <c r="Q27" s="128">
        <v>2</v>
      </c>
      <c r="S27" s="131" t="s">
        <v>1125</v>
      </c>
      <c r="T27" s="128">
        <v>323</v>
      </c>
      <c r="W27" s="127" t="s">
        <v>416</v>
      </c>
      <c r="X27" s="128">
        <v>9</v>
      </c>
    </row>
    <row r="28" spans="1:24">
      <c r="A28" s="61" t="s">
        <v>154</v>
      </c>
      <c r="B28" s="62">
        <v>88</v>
      </c>
      <c r="C28" s="23"/>
      <c r="D28" s="23"/>
      <c r="E28" s="123" t="s">
        <v>447</v>
      </c>
      <c r="F28" s="62">
        <v>39</v>
      </c>
      <c r="G28" s="23"/>
      <c r="H28" s="23"/>
      <c r="I28" s="23"/>
      <c r="J28" s="61" t="s">
        <v>166</v>
      </c>
      <c r="K28" s="24">
        <v>250</v>
      </c>
      <c r="L28" s="24">
        <v>160</v>
      </c>
      <c r="M28" s="121">
        <f t="shared" ref="M28:M38" si="0">K28*L28/1000</f>
        <v>40</v>
      </c>
      <c r="P28" s="127" t="s">
        <v>358</v>
      </c>
      <c r="Q28" s="128">
        <v>1</v>
      </c>
      <c r="S28" s="131" t="s">
        <v>1126</v>
      </c>
      <c r="T28" s="128">
        <v>215</v>
      </c>
      <c r="W28" s="127" t="s">
        <v>417</v>
      </c>
      <c r="X28" s="128">
        <v>22</v>
      </c>
    </row>
    <row r="29" spans="1:24">
      <c r="A29" s="61" t="s">
        <v>155</v>
      </c>
      <c r="B29" s="62">
        <v>47</v>
      </c>
      <c r="C29" s="23"/>
      <c r="D29" s="23"/>
      <c r="E29" s="123" t="s">
        <v>448</v>
      </c>
      <c r="F29" s="62">
        <v>298</v>
      </c>
      <c r="G29" s="23"/>
      <c r="H29" s="23"/>
      <c r="I29" s="23"/>
      <c r="J29" s="61" t="s">
        <v>167</v>
      </c>
      <c r="K29" s="24">
        <v>950</v>
      </c>
      <c r="L29" s="24">
        <v>347</v>
      </c>
      <c r="M29" s="121">
        <f t="shared" si="0"/>
        <v>329.65</v>
      </c>
      <c r="P29" s="125" t="s">
        <v>359</v>
      </c>
      <c r="Q29" s="128">
        <v>49</v>
      </c>
      <c r="S29" s="131" t="s">
        <v>133</v>
      </c>
      <c r="T29" s="128">
        <v>158</v>
      </c>
      <c r="W29" s="127" t="s">
        <v>418</v>
      </c>
      <c r="X29" s="128">
        <v>40</v>
      </c>
    </row>
    <row r="30" spans="1:24" ht="13.5" thickBot="1">
      <c r="A30" s="61" t="s">
        <v>156</v>
      </c>
      <c r="B30" s="62">
        <v>26</v>
      </c>
      <c r="C30" s="23"/>
      <c r="D30" s="23"/>
      <c r="E30" s="124" t="s">
        <v>449</v>
      </c>
      <c r="F30" s="64">
        <v>60</v>
      </c>
      <c r="G30" s="23"/>
      <c r="H30" s="23"/>
      <c r="I30" s="23"/>
      <c r="J30" s="61" t="s">
        <v>70</v>
      </c>
      <c r="K30" s="24">
        <v>90</v>
      </c>
      <c r="L30" s="24">
        <v>389</v>
      </c>
      <c r="M30" s="121">
        <f t="shared" si="0"/>
        <v>35.01</v>
      </c>
      <c r="P30" s="127" t="s">
        <v>360</v>
      </c>
      <c r="Q30" s="128">
        <v>18</v>
      </c>
      <c r="S30" s="131" t="s">
        <v>1127</v>
      </c>
      <c r="T30" s="128">
        <v>135</v>
      </c>
      <c r="W30" s="127" t="s">
        <v>419</v>
      </c>
      <c r="X30" s="128">
        <v>4</v>
      </c>
    </row>
    <row r="31" spans="1:24" ht="13.5" thickBot="1">
      <c r="A31" s="61" t="s">
        <v>157</v>
      </c>
      <c r="B31" s="62">
        <v>84</v>
      </c>
      <c r="C31" s="23"/>
      <c r="D31" s="23"/>
      <c r="E31" s="23"/>
      <c r="F31" s="23"/>
      <c r="G31" s="23"/>
      <c r="H31" s="23"/>
      <c r="I31" s="23"/>
      <c r="J31" s="61" t="s">
        <v>168</v>
      </c>
      <c r="K31" s="24">
        <v>75</v>
      </c>
      <c r="L31" s="24">
        <v>267</v>
      </c>
      <c r="M31" s="121">
        <f t="shared" si="0"/>
        <v>20.024999999999999</v>
      </c>
      <c r="P31" s="127" t="s">
        <v>361</v>
      </c>
      <c r="Q31" s="128">
        <v>11</v>
      </c>
      <c r="S31" s="131" t="s">
        <v>1128</v>
      </c>
      <c r="T31" s="128">
        <v>110</v>
      </c>
      <c r="W31" s="129" t="s">
        <v>420</v>
      </c>
      <c r="X31" s="130">
        <v>6</v>
      </c>
    </row>
    <row r="32" spans="1:24" ht="13.5" thickBot="1">
      <c r="A32" s="63" t="s">
        <v>158</v>
      </c>
      <c r="B32" s="64">
        <v>19</v>
      </c>
      <c r="C32" s="23"/>
      <c r="D32" s="23"/>
      <c r="E32" s="23"/>
      <c r="F32" s="23"/>
      <c r="G32" s="23"/>
      <c r="H32" s="23"/>
      <c r="I32" s="23"/>
      <c r="J32" s="61" t="s">
        <v>64</v>
      </c>
      <c r="K32" s="24">
        <v>560</v>
      </c>
      <c r="L32" s="24">
        <v>89</v>
      </c>
      <c r="M32" s="121">
        <f t="shared" si="0"/>
        <v>49.84</v>
      </c>
      <c r="P32" s="127" t="s">
        <v>362</v>
      </c>
      <c r="Q32" s="128">
        <v>8</v>
      </c>
      <c r="S32" s="131" t="s">
        <v>1129</v>
      </c>
      <c r="T32" s="128">
        <v>97</v>
      </c>
    </row>
    <row r="33" spans="1:20" ht="13.5" thickBot="1">
      <c r="A33" s="23"/>
      <c r="B33" s="23"/>
      <c r="C33" s="23"/>
      <c r="D33" s="23"/>
      <c r="E33" s="23"/>
      <c r="F33" s="23"/>
      <c r="G33" s="23"/>
      <c r="H33" s="23"/>
      <c r="I33" s="23"/>
      <c r="J33" s="61" t="s">
        <v>169</v>
      </c>
      <c r="K33" s="24">
        <v>1350</v>
      </c>
      <c r="L33" s="24">
        <v>11</v>
      </c>
      <c r="M33" s="121">
        <f t="shared" si="0"/>
        <v>14.85</v>
      </c>
      <c r="P33" s="127" t="s">
        <v>363</v>
      </c>
      <c r="Q33" s="128">
        <v>4</v>
      </c>
      <c r="S33" s="132" t="s">
        <v>1130</v>
      </c>
      <c r="T33" s="130">
        <v>81</v>
      </c>
    </row>
    <row r="34" spans="1:20" ht="39" thickBot="1">
      <c r="A34" s="104"/>
      <c r="B34" s="102" t="s">
        <v>170</v>
      </c>
      <c r="C34" s="23"/>
      <c r="D34" s="23"/>
      <c r="E34" s="349" t="s">
        <v>171</v>
      </c>
      <c r="F34" s="350"/>
      <c r="G34" s="350"/>
      <c r="H34" s="351"/>
      <c r="I34" s="23"/>
      <c r="J34" s="61" t="s">
        <v>172</v>
      </c>
      <c r="K34" s="24">
        <v>650</v>
      </c>
      <c r="L34" s="24">
        <v>169</v>
      </c>
      <c r="M34" s="121">
        <f t="shared" si="0"/>
        <v>109.85</v>
      </c>
      <c r="P34" s="127" t="s">
        <v>364</v>
      </c>
      <c r="Q34" s="128">
        <v>2</v>
      </c>
    </row>
    <row r="35" spans="1:20" ht="13.5" thickBot="1">
      <c r="A35" s="89" t="s">
        <v>173</v>
      </c>
      <c r="B35" s="90">
        <v>283</v>
      </c>
      <c r="C35" s="23" t="s">
        <v>174</v>
      </c>
      <c r="D35" s="23"/>
      <c r="E35" s="104"/>
      <c r="F35" s="105" t="s">
        <v>175</v>
      </c>
      <c r="G35" s="105" t="s">
        <v>176</v>
      </c>
      <c r="H35" s="102" t="s">
        <v>177</v>
      </c>
      <c r="I35" s="23"/>
      <c r="J35" s="61" t="s">
        <v>178</v>
      </c>
      <c r="K35" s="24">
        <v>220</v>
      </c>
      <c r="L35" s="24">
        <v>114</v>
      </c>
      <c r="M35" s="121">
        <f t="shared" si="0"/>
        <v>25.08</v>
      </c>
      <c r="P35" s="127" t="s">
        <v>119</v>
      </c>
      <c r="Q35" s="128">
        <v>6</v>
      </c>
    </row>
    <row r="36" spans="1:20">
      <c r="A36" s="61" t="s">
        <v>179</v>
      </c>
      <c r="B36" s="62">
        <v>270</v>
      </c>
      <c r="C36" s="23"/>
      <c r="D36" s="23"/>
      <c r="E36" s="89" t="s">
        <v>180</v>
      </c>
      <c r="F36" s="91">
        <v>103</v>
      </c>
      <c r="G36" s="92">
        <v>132</v>
      </c>
      <c r="H36" s="90">
        <v>152</v>
      </c>
      <c r="I36" s="23"/>
      <c r="J36" s="61" t="s">
        <v>63</v>
      </c>
      <c r="K36" s="24">
        <v>15</v>
      </c>
      <c r="L36" s="24">
        <v>1333</v>
      </c>
      <c r="M36" s="121">
        <f t="shared" si="0"/>
        <v>19.995000000000001</v>
      </c>
      <c r="P36" s="125" t="s">
        <v>365</v>
      </c>
      <c r="Q36" s="128">
        <v>112</v>
      </c>
    </row>
    <row r="37" spans="1:20">
      <c r="A37" s="61" t="s">
        <v>181</v>
      </c>
      <c r="B37" s="62">
        <v>185</v>
      </c>
      <c r="C37" s="23"/>
      <c r="D37" s="23"/>
      <c r="E37" s="61" t="s">
        <v>182</v>
      </c>
      <c r="F37" s="41">
        <v>6</v>
      </c>
      <c r="G37" s="24">
        <v>12</v>
      </c>
      <c r="H37" s="62">
        <v>14</v>
      </c>
      <c r="I37" s="23"/>
      <c r="J37" s="61" t="s">
        <v>183</v>
      </c>
      <c r="K37" s="24">
        <v>56</v>
      </c>
      <c r="L37" s="24">
        <v>1518</v>
      </c>
      <c r="M37" s="121">
        <f t="shared" si="0"/>
        <v>85.007999999999996</v>
      </c>
      <c r="P37" s="127" t="s">
        <v>366</v>
      </c>
      <c r="Q37" s="128">
        <v>71</v>
      </c>
    </row>
    <row r="38" spans="1:20" ht="13.5" thickBot="1">
      <c r="A38" s="61" t="s">
        <v>184</v>
      </c>
      <c r="B38" s="62">
        <v>183</v>
      </c>
      <c r="C38" s="23"/>
      <c r="D38" s="23"/>
      <c r="E38" s="61" t="s">
        <v>185</v>
      </c>
      <c r="F38" s="41">
        <v>8</v>
      </c>
      <c r="G38" s="24">
        <v>12</v>
      </c>
      <c r="H38" s="62">
        <v>12</v>
      </c>
      <c r="I38" s="23"/>
      <c r="J38" s="63" t="s">
        <v>186</v>
      </c>
      <c r="K38" s="67">
        <v>150</v>
      </c>
      <c r="L38" s="67">
        <v>1367</v>
      </c>
      <c r="M38" s="122">
        <f t="shared" si="0"/>
        <v>205.05</v>
      </c>
      <c r="P38" s="127" t="s">
        <v>367</v>
      </c>
      <c r="Q38" s="128">
        <v>15</v>
      </c>
    </row>
    <row r="39" spans="1:20">
      <c r="A39" s="61" t="s">
        <v>187</v>
      </c>
      <c r="B39" s="62">
        <v>121</v>
      </c>
      <c r="C39" s="23"/>
      <c r="D39" s="23"/>
      <c r="E39" s="61" t="s">
        <v>188</v>
      </c>
      <c r="F39" s="41">
        <v>1</v>
      </c>
      <c r="G39" s="24">
        <v>3</v>
      </c>
      <c r="H39" s="62">
        <v>4</v>
      </c>
      <c r="I39" s="23"/>
      <c r="J39" s="23"/>
      <c r="K39" s="23"/>
      <c r="L39" s="23"/>
      <c r="M39" s="23"/>
      <c r="P39" s="127" t="s">
        <v>368</v>
      </c>
      <c r="Q39" s="128">
        <v>11</v>
      </c>
    </row>
    <row r="40" spans="1:20">
      <c r="A40" s="61" t="s">
        <v>189</v>
      </c>
      <c r="B40" s="62">
        <v>91</v>
      </c>
      <c r="C40" s="23"/>
      <c r="D40" s="23"/>
      <c r="E40" s="61" t="s">
        <v>190</v>
      </c>
      <c r="F40" s="41">
        <v>1</v>
      </c>
      <c r="G40" s="24">
        <v>3</v>
      </c>
      <c r="H40" s="62">
        <v>4</v>
      </c>
      <c r="I40" s="23"/>
      <c r="J40" s="23"/>
      <c r="K40" s="23"/>
      <c r="L40" s="23"/>
      <c r="M40" s="23"/>
      <c r="P40" s="127" t="s">
        <v>356</v>
      </c>
      <c r="Q40" s="128">
        <v>7</v>
      </c>
    </row>
    <row r="41" spans="1:20">
      <c r="A41" s="61" t="s">
        <v>191</v>
      </c>
      <c r="B41" s="62">
        <v>72</v>
      </c>
      <c r="C41" s="23"/>
      <c r="D41" s="23"/>
      <c r="E41" s="61" t="s">
        <v>192</v>
      </c>
      <c r="F41" s="41">
        <v>1</v>
      </c>
      <c r="G41" s="24">
        <v>0</v>
      </c>
      <c r="H41" s="62">
        <v>4</v>
      </c>
      <c r="I41" s="23"/>
      <c r="J41" s="23"/>
      <c r="K41" s="23"/>
      <c r="L41" s="23"/>
      <c r="M41" s="23"/>
      <c r="P41" s="127" t="s">
        <v>369</v>
      </c>
      <c r="Q41" s="128">
        <v>4</v>
      </c>
    </row>
    <row r="42" spans="1:20">
      <c r="A42" s="61" t="s">
        <v>193</v>
      </c>
      <c r="B42" s="62">
        <v>53</v>
      </c>
      <c r="C42" s="23"/>
      <c r="D42" s="23"/>
      <c r="E42" s="61" t="s">
        <v>194</v>
      </c>
      <c r="F42" s="41">
        <v>0</v>
      </c>
      <c r="G42" s="24">
        <v>2</v>
      </c>
      <c r="H42" s="62">
        <v>2</v>
      </c>
      <c r="I42" s="23"/>
      <c r="J42" s="23"/>
      <c r="K42" s="23"/>
      <c r="L42" s="23"/>
      <c r="M42" s="23"/>
      <c r="P42" s="127" t="s">
        <v>370</v>
      </c>
      <c r="Q42" s="128">
        <v>3</v>
      </c>
    </row>
    <row r="43" spans="1:20" ht="13.5" thickBot="1">
      <c r="A43" s="61" t="s">
        <v>195</v>
      </c>
      <c r="B43" s="62">
        <v>38</v>
      </c>
      <c r="C43" s="23"/>
      <c r="D43" s="23"/>
      <c r="E43" s="61" t="s">
        <v>196</v>
      </c>
      <c r="F43" s="41">
        <v>1</v>
      </c>
      <c r="G43" s="24">
        <v>2</v>
      </c>
      <c r="H43" s="62">
        <v>2</v>
      </c>
      <c r="I43" s="23"/>
      <c r="J43" s="23"/>
      <c r="K43" s="23"/>
      <c r="L43" s="23"/>
      <c r="M43" s="23"/>
      <c r="P43" s="129" t="s">
        <v>371</v>
      </c>
      <c r="Q43" s="130">
        <v>1</v>
      </c>
    </row>
    <row r="44" spans="1:20" ht="13.5" thickBot="1">
      <c r="A44" s="61" t="s">
        <v>197</v>
      </c>
      <c r="B44" s="62">
        <v>38</v>
      </c>
      <c r="C44" s="23"/>
      <c r="D44" s="23"/>
      <c r="E44" s="63" t="s">
        <v>119</v>
      </c>
      <c r="F44" s="66">
        <v>3</v>
      </c>
      <c r="G44" s="67">
        <v>2</v>
      </c>
      <c r="H44" s="64">
        <v>2</v>
      </c>
      <c r="I44" s="23"/>
      <c r="J44" s="23"/>
      <c r="K44" s="23"/>
      <c r="L44" s="23"/>
      <c r="M44" s="23"/>
    </row>
    <row r="45" spans="1:20">
      <c r="A45" s="61" t="s">
        <v>198</v>
      </c>
      <c r="B45" s="62">
        <v>35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20">
      <c r="A46" s="61" t="s">
        <v>199</v>
      </c>
      <c r="B46" s="62">
        <v>23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20">
      <c r="A47" s="61" t="s">
        <v>200</v>
      </c>
      <c r="B47" s="62">
        <v>13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20">
      <c r="A48" s="61" t="s">
        <v>119</v>
      </c>
      <c r="B48" s="62">
        <v>13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>
      <c r="A49" s="61" t="s">
        <v>201</v>
      </c>
      <c r="B49" s="62">
        <v>10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3.5" thickBot="1">
      <c r="A50" s="63" t="s">
        <v>202</v>
      </c>
      <c r="B50" s="64">
        <v>4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</sheetData>
  <mergeCells count="2">
    <mergeCell ref="E34:H34"/>
    <mergeCell ref="J25:M25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/>
  <dimension ref="A1:P22"/>
  <sheetViews>
    <sheetView showGridLines="0" topLeftCell="E1" workbookViewId="0">
      <selection activeCell="F1" sqref="F1:G5"/>
    </sheetView>
  </sheetViews>
  <sheetFormatPr defaultColWidth="10.6640625" defaultRowHeight="12.75"/>
  <cols>
    <col min="1" max="4" width="10.6640625" style="17" customWidth="1"/>
    <col min="5" max="5" width="3.33203125" style="17" customWidth="1"/>
    <col min="6" max="6" width="12.5" style="17" customWidth="1"/>
    <col min="7" max="7" width="12.83203125" style="17" bestFit="1" customWidth="1"/>
    <col min="8" max="8" width="3" style="17" customWidth="1"/>
    <col min="9" max="9" width="11.6640625" style="17" bestFit="1" customWidth="1"/>
    <col min="10" max="10" width="10.6640625" style="17" customWidth="1"/>
    <col min="11" max="11" width="14.5" style="17" bestFit="1" customWidth="1"/>
    <col min="12" max="12" width="13.83203125" style="17" customWidth="1"/>
    <col min="13" max="13" width="5.83203125" style="17" bestFit="1" customWidth="1"/>
    <col min="14" max="14" width="4.1640625" style="17" customWidth="1"/>
    <col min="15" max="15" width="25.33203125" style="17" bestFit="1" customWidth="1"/>
    <col min="16" max="16" width="13.5" style="17" customWidth="1"/>
    <col min="17" max="16384" width="10.6640625" style="17"/>
  </cols>
  <sheetData>
    <row r="1" spans="1:16" s="14" customFormat="1" ht="77.25" thickBot="1">
      <c r="A1" s="12" t="s">
        <v>450</v>
      </c>
      <c r="B1" s="13" t="s">
        <v>71</v>
      </c>
      <c r="C1" s="13" t="s">
        <v>72</v>
      </c>
      <c r="D1" s="13" t="s">
        <v>73</v>
      </c>
      <c r="F1" s="157" t="s">
        <v>451</v>
      </c>
      <c r="G1" s="156" t="s">
        <v>452</v>
      </c>
      <c r="H1" s="15"/>
      <c r="K1" s="157" t="s">
        <v>451</v>
      </c>
      <c r="L1" s="158" t="s">
        <v>453</v>
      </c>
      <c r="M1" s="163" t="s">
        <v>454</v>
      </c>
      <c r="O1" s="157" t="s">
        <v>451</v>
      </c>
      <c r="P1" s="156" t="s">
        <v>455</v>
      </c>
    </row>
    <row r="2" spans="1:16">
      <c r="A2" s="16" t="s">
        <v>75</v>
      </c>
      <c r="B2" s="16">
        <v>41</v>
      </c>
      <c r="C2" s="16">
        <v>25</v>
      </c>
      <c r="D2" s="16">
        <v>5</v>
      </c>
      <c r="F2" s="154" t="s">
        <v>456</v>
      </c>
      <c r="G2" s="155">
        <v>14646</v>
      </c>
      <c r="I2" s="168" t="s">
        <v>3</v>
      </c>
      <c r="J2" s="169">
        <v>443683</v>
      </c>
      <c r="K2" s="154" t="s">
        <v>456</v>
      </c>
      <c r="L2" s="159">
        <f t="shared" ref="L2:L7" si="0">ROUND(M2*J$4,0)</f>
        <v>7977</v>
      </c>
      <c r="M2" s="164">
        <v>0.39</v>
      </c>
      <c r="O2" s="154" t="s">
        <v>84</v>
      </c>
      <c r="P2" s="155">
        <v>8461</v>
      </c>
    </row>
    <row r="3" spans="1:16">
      <c r="A3" s="16" t="s">
        <v>77</v>
      </c>
      <c r="B3" s="16">
        <v>33</v>
      </c>
      <c r="C3" s="16">
        <v>13</v>
      </c>
      <c r="D3" s="16">
        <v>16</v>
      </c>
      <c r="F3" s="150" t="s">
        <v>457</v>
      </c>
      <c r="G3" s="151">
        <v>6835</v>
      </c>
      <c r="I3" s="170" t="s">
        <v>458</v>
      </c>
      <c r="J3" s="171">
        <f>0.0383+0.0064+0.0002+0.0004+0.0008</f>
        <v>4.6100000000000002E-2</v>
      </c>
      <c r="K3" s="150" t="s">
        <v>457</v>
      </c>
      <c r="L3" s="160">
        <f t="shared" si="0"/>
        <v>5523</v>
      </c>
      <c r="M3" s="164">
        <v>0.27</v>
      </c>
      <c r="O3" s="150" t="s">
        <v>459</v>
      </c>
      <c r="P3" s="151">
        <v>7124</v>
      </c>
    </row>
    <row r="4" spans="1:16" ht="13.5" thickBot="1">
      <c r="A4" s="16" t="s">
        <v>78</v>
      </c>
      <c r="B4" s="16">
        <v>5</v>
      </c>
      <c r="C4" s="16">
        <v>1</v>
      </c>
      <c r="D4" s="16">
        <v>2</v>
      </c>
      <c r="F4" s="150" t="s">
        <v>460</v>
      </c>
      <c r="G4" s="151">
        <v>6834</v>
      </c>
      <c r="I4" s="172" t="s">
        <v>461</v>
      </c>
      <c r="J4" s="173">
        <v>20454</v>
      </c>
      <c r="K4" s="150" t="s">
        <v>460</v>
      </c>
      <c r="L4" s="160">
        <f t="shared" si="0"/>
        <v>4500</v>
      </c>
      <c r="M4" s="164">
        <v>0.22</v>
      </c>
      <c r="O4" s="150" t="s">
        <v>462</v>
      </c>
      <c r="P4" s="151">
        <v>5463</v>
      </c>
    </row>
    <row r="5" spans="1:16" ht="13.5" thickBot="1">
      <c r="A5" s="16" t="s">
        <v>79</v>
      </c>
      <c r="B5" s="16">
        <v>5</v>
      </c>
      <c r="C5" s="16">
        <v>1</v>
      </c>
      <c r="D5" s="16">
        <v>0</v>
      </c>
      <c r="F5" s="152" t="s">
        <v>119</v>
      </c>
      <c r="G5" s="162">
        <v>4231</v>
      </c>
      <c r="I5" s="27"/>
      <c r="K5" s="150" t="s">
        <v>463</v>
      </c>
      <c r="L5" s="160">
        <f t="shared" si="0"/>
        <v>1227</v>
      </c>
      <c r="M5" s="164">
        <v>0.06</v>
      </c>
      <c r="O5" s="150" t="s">
        <v>464</v>
      </c>
      <c r="P5" s="151">
        <v>2923</v>
      </c>
    </row>
    <row r="6" spans="1:16" ht="13.5" thickBot="1">
      <c r="A6" s="16" t="s">
        <v>80</v>
      </c>
      <c r="B6" s="16">
        <v>3</v>
      </c>
      <c r="C6" s="16">
        <v>5</v>
      </c>
      <c r="D6" s="16">
        <v>4</v>
      </c>
      <c r="G6" s="166">
        <f>SUM(G2:G5)</f>
        <v>32546</v>
      </c>
      <c r="K6" s="150" t="s">
        <v>465</v>
      </c>
      <c r="L6" s="160">
        <f t="shared" si="0"/>
        <v>1023</v>
      </c>
      <c r="M6" s="164">
        <v>0.05</v>
      </c>
      <c r="O6" s="150" t="s">
        <v>77</v>
      </c>
      <c r="P6" s="151">
        <v>2300</v>
      </c>
    </row>
    <row r="7" spans="1:16" ht="13.5" thickBot="1">
      <c r="A7" s="16" t="s">
        <v>81</v>
      </c>
      <c r="B7" s="16">
        <v>3</v>
      </c>
      <c r="C7" s="16">
        <v>0</v>
      </c>
      <c r="D7" s="16">
        <v>0</v>
      </c>
      <c r="K7" s="152" t="s">
        <v>466</v>
      </c>
      <c r="L7" s="161">
        <f t="shared" si="0"/>
        <v>205</v>
      </c>
      <c r="M7" s="165">
        <v>0.01</v>
      </c>
      <c r="O7" s="150" t="s">
        <v>82</v>
      </c>
      <c r="P7" s="151">
        <v>2256</v>
      </c>
    </row>
    <row r="8" spans="1:16" ht="13.5" thickBot="1">
      <c r="A8" s="16" t="s">
        <v>82</v>
      </c>
      <c r="B8" s="16">
        <v>1</v>
      </c>
      <c r="C8" s="16">
        <v>3</v>
      </c>
      <c r="D8" s="16">
        <v>2</v>
      </c>
      <c r="L8" s="166">
        <f>SUM(L2:L7)</f>
        <v>20455</v>
      </c>
      <c r="M8" s="18"/>
      <c r="O8" s="150" t="s">
        <v>446</v>
      </c>
      <c r="P8" s="151">
        <v>1786</v>
      </c>
    </row>
    <row r="9" spans="1:16">
      <c r="A9" s="16" t="s">
        <v>83</v>
      </c>
      <c r="B9" s="16">
        <v>0</v>
      </c>
      <c r="C9" s="16">
        <v>2</v>
      </c>
      <c r="D9" s="16">
        <v>1</v>
      </c>
      <c r="M9" s="18"/>
      <c r="O9" s="150" t="s">
        <v>467</v>
      </c>
      <c r="P9" s="151">
        <v>636</v>
      </c>
    </row>
    <row r="10" spans="1:16">
      <c r="A10" s="16" t="s">
        <v>84</v>
      </c>
      <c r="B10" s="16">
        <v>0</v>
      </c>
      <c r="C10" s="16">
        <v>2</v>
      </c>
      <c r="D10" s="16">
        <v>0</v>
      </c>
      <c r="M10" s="18"/>
      <c r="O10" s="150" t="s">
        <v>414</v>
      </c>
      <c r="P10" s="151">
        <v>586</v>
      </c>
    </row>
    <row r="11" spans="1:16">
      <c r="M11" s="18"/>
      <c r="O11" s="150" t="s">
        <v>468</v>
      </c>
      <c r="P11" s="151">
        <v>335</v>
      </c>
    </row>
    <row r="12" spans="1:16">
      <c r="M12" s="18"/>
      <c r="O12" s="150" t="s">
        <v>469</v>
      </c>
      <c r="P12" s="151">
        <v>311</v>
      </c>
    </row>
    <row r="13" spans="1:16">
      <c r="M13" s="18"/>
      <c r="O13" s="150" t="s">
        <v>470</v>
      </c>
      <c r="P13" s="151">
        <v>252</v>
      </c>
    </row>
    <row r="14" spans="1:16" ht="13.5" thickBot="1">
      <c r="M14" s="18"/>
      <c r="O14" s="152" t="s">
        <v>119</v>
      </c>
      <c r="P14" s="153">
        <v>113</v>
      </c>
    </row>
    <row r="15" spans="1:16" ht="64.5" thickBot="1">
      <c r="K15" s="157" t="s">
        <v>451</v>
      </c>
      <c r="L15" s="156" t="s">
        <v>471</v>
      </c>
      <c r="M15" s="19"/>
      <c r="P15" s="28">
        <f>SUM(P2:P14)</f>
        <v>32546</v>
      </c>
    </row>
    <row r="16" spans="1:16">
      <c r="K16" s="154" t="s">
        <v>472</v>
      </c>
      <c r="L16" s="159">
        <f t="shared" ref="L16:L21" si="1">ROUND(M16*G$6,0)</f>
        <v>9438</v>
      </c>
      <c r="M16" s="167">
        <v>0.28999999999999998</v>
      </c>
    </row>
    <row r="17" spans="11:13">
      <c r="K17" s="150" t="s">
        <v>473</v>
      </c>
      <c r="L17" s="160">
        <f t="shared" si="1"/>
        <v>9438</v>
      </c>
      <c r="M17" s="164">
        <v>0.28999999999999998</v>
      </c>
    </row>
    <row r="18" spans="11:13">
      <c r="K18" s="150" t="s">
        <v>474</v>
      </c>
      <c r="L18" s="160">
        <f t="shared" si="1"/>
        <v>8137</v>
      </c>
      <c r="M18" s="164">
        <v>0.25</v>
      </c>
    </row>
    <row r="19" spans="11:13">
      <c r="K19" s="150" t="s">
        <v>475</v>
      </c>
      <c r="L19" s="160">
        <f t="shared" si="1"/>
        <v>3906</v>
      </c>
      <c r="M19" s="164">
        <v>0.12</v>
      </c>
    </row>
    <row r="20" spans="11:13">
      <c r="K20" s="150" t="s">
        <v>1138</v>
      </c>
      <c r="L20" s="160">
        <f t="shared" si="1"/>
        <v>976</v>
      </c>
      <c r="M20" s="164">
        <v>0.03</v>
      </c>
    </row>
    <row r="21" spans="11:13" ht="13.5" thickBot="1">
      <c r="K21" s="152" t="s">
        <v>119</v>
      </c>
      <c r="L21" s="161">
        <f t="shared" si="1"/>
        <v>651</v>
      </c>
      <c r="M21" s="165">
        <v>0.02</v>
      </c>
    </row>
    <row r="22" spans="11:13" ht="13.5" thickBot="1">
      <c r="L22" s="166">
        <f>SUM(L16:L21)</f>
        <v>32546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E40"/>
  <sheetViews>
    <sheetView showGridLines="0" zoomScaleNormal="100" workbookViewId="0">
      <selection sqref="A1:B40"/>
    </sheetView>
  </sheetViews>
  <sheetFormatPr defaultColWidth="10.6640625" defaultRowHeight="12.75"/>
  <cols>
    <col min="1" max="1" width="59.1640625" style="8" customWidth="1"/>
    <col min="2" max="2" width="18" style="8" customWidth="1"/>
    <col min="3" max="3" width="10.6640625" style="8" customWidth="1"/>
    <col min="4" max="4" width="41" style="8" bestFit="1" customWidth="1"/>
    <col min="5" max="5" width="17.6640625" style="8" customWidth="1"/>
    <col min="6" max="16384" width="10.6640625" style="8"/>
  </cols>
  <sheetData>
    <row r="1" spans="1:5" ht="13.5" thickBot="1">
      <c r="A1" s="180" t="s">
        <v>203</v>
      </c>
      <c r="B1" s="181" t="s">
        <v>204</v>
      </c>
      <c r="D1" s="182" t="s">
        <v>205</v>
      </c>
    </row>
    <row r="2" spans="1:5" ht="13.5" thickBot="1">
      <c r="A2" s="178" t="s">
        <v>206</v>
      </c>
      <c r="B2" s="179">
        <v>2275</v>
      </c>
      <c r="D2" s="180" t="s">
        <v>246</v>
      </c>
      <c r="E2" s="181" t="s">
        <v>204</v>
      </c>
    </row>
    <row r="3" spans="1:5">
      <c r="A3" s="174" t="s">
        <v>207</v>
      </c>
      <c r="B3" s="175">
        <v>1316</v>
      </c>
      <c r="D3" s="178" t="s">
        <v>248</v>
      </c>
      <c r="E3" s="179">
        <v>372</v>
      </c>
    </row>
    <row r="4" spans="1:5">
      <c r="A4" s="174" t="s">
        <v>208</v>
      </c>
      <c r="B4" s="175">
        <v>1298</v>
      </c>
      <c r="D4" s="174" t="s">
        <v>250</v>
      </c>
      <c r="E4" s="175">
        <v>199</v>
      </c>
    </row>
    <row r="5" spans="1:5">
      <c r="A5" s="174" t="s">
        <v>209</v>
      </c>
      <c r="B5" s="175">
        <v>926</v>
      </c>
      <c r="D5" s="174" t="s">
        <v>252</v>
      </c>
      <c r="E5" s="175">
        <v>170</v>
      </c>
    </row>
    <row r="6" spans="1:5">
      <c r="A6" s="174" t="s">
        <v>210</v>
      </c>
      <c r="B6" s="175">
        <v>907</v>
      </c>
      <c r="D6" s="174" t="s">
        <v>254</v>
      </c>
      <c r="E6" s="175">
        <v>23</v>
      </c>
    </row>
    <row r="7" spans="1:5" ht="13.5" thickBot="1">
      <c r="A7" s="174" t="s">
        <v>211</v>
      </c>
      <c r="B7" s="175">
        <v>740</v>
      </c>
      <c r="D7" s="176" t="s">
        <v>256</v>
      </c>
      <c r="E7" s="177">
        <v>12</v>
      </c>
    </row>
    <row r="8" spans="1:5">
      <c r="A8" s="174" t="s">
        <v>212</v>
      </c>
      <c r="B8" s="175">
        <v>719</v>
      </c>
    </row>
    <row r="9" spans="1:5">
      <c r="A9" s="174" t="s">
        <v>213</v>
      </c>
      <c r="B9" s="175">
        <v>716</v>
      </c>
    </row>
    <row r="10" spans="1:5">
      <c r="A10" s="174" t="s">
        <v>214</v>
      </c>
      <c r="B10" s="175">
        <v>713</v>
      </c>
    </row>
    <row r="11" spans="1:5">
      <c r="A11" s="174" t="s">
        <v>215</v>
      </c>
      <c r="B11" s="175">
        <v>445</v>
      </c>
    </row>
    <row r="12" spans="1:5">
      <c r="A12" s="174" t="s">
        <v>216</v>
      </c>
      <c r="B12" s="175">
        <v>324</v>
      </c>
    </row>
    <row r="13" spans="1:5">
      <c r="A13" s="174" t="s">
        <v>217</v>
      </c>
      <c r="B13" s="175">
        <v>300</v>
      </c>
    </row>
    <row r="14" spans="1:5">
      <c r="A14" s="174" t="s">
        <v>218</v>
      </c>
      <c r="B14" s="175">
        <v>293</v>
      </c>
    </row>
    <row r="15" spans="1:5">
      <c r="A15" s="174" t="s">
        <v>219</v>
      </c>
      <c r="B15" s="175">
        <v>281</v>
      </c>
    </row>
    <row r="16" spans="1:5">
      <c r="A16" s="174" t="s">
        <v>220</v>
      </c>
      <c r="B16" s="175">
        <v>273</v>
      </c>
    </row>
    <row r="17" spans="1:2">
      <c r="A17" s="174" t="s">
        <v>221</v>
      </c>
      <c r="B17" s="175">
        <v>207</v>
      </c>
    </row>
    <row r="18" spans="1:2">
      <c r="A18" s="174" t="s">
        <v>222</v>
      </c>
      <c r="B18" s="175">
        <v>187</v>
      </c>
    </row>
    <row r="19" spans="1:2">
      <c r="A19" s="174" t="s">
        <v>223</v>
      </c>
      <c r="B19" s="175">
        <v>185</v>
      </c>
    </row>
    <row r="20" spans="1:2">
      <c r="A20" s="174" t="s">
        <v>224</v>
      </c>
      <c r="B20" s="175">
        <v>171</v>
      </c>
    </row>
    <row r="21" spans="1:2">
      <c r="A21" s="174" t="s">
        <v>225</v>
      </c>
      <c r="B21" s="175">
        <v>127</v>
      </c>
    </row>
    <row r="22" spans="1:2">
      <c r="A22" s="174" t="s">
        <v>226</v>
      </c>
      <c r="B22" s="175">
        <v>125</v>
      </c>
    </row>
    <row r="23" spans="1:2">
      <c r="A23" s="174" t="s">
        <v>227</v>
      </c>
      <c r="B23" s="175">
        <v>112</v>
      </c>
    </row>
    <row r="24" spans="1:2">
      <c r="A24" s="174" t="s">
        <v>228</v>
      </c>
      <c r="B24" s="175">
        <v>77</v>
      </c>
    </row>
    <row r="25" spans="1:2">
      <c r="A25" s="174" t="s">
        <v>229</v>
      </c>
      <c r="B25" s="175">
        <v>44</v>
      </c>
    </row>
    <row r="26" spans="1:2">
      <c r="A26" s="174" t="s">
        <v>230</v>
      </c>
      <c r="B26" s="175">
        <v>43</v>
      </c>
    </row>
    <row r="27" spans="1:2">
      <c r="A27" s="174" t="s">
        <v>231</v>
      </c>
      <c r="B27" s="175">
        <v>27</v>
      </c>
    </row>
    <row r="28" spans="1:2">
      <c r="A28" s="174" t="s">
        <v>232</v>
      </c>
      <c r="B28" s="175">
        <v>25</v>
      </c>
    </row>
    <row r="29" spans="1:2">
      <c r="A29" s="174" t="s">
        <v>233</v>
      </c>
      <c r="B29" s="175">
        <v>24</v>
      </c>
    </row>
    <row r="30" spans="1:2">
      <c r="A30" s="174" t="s">
        <v>234</v>
      </c>
      <c r="B30" s="175">
        <v>21</v>
      </c>
    </row>
    <row r="31" spans="1:2">
      <c r="A31" s="174" t="s">
        <v>235</v>
      </c>
      <c r="B31" s="175">
        <v>17</v>
      </c>
    </row>
    <row r="32" spans="1:2">
      <c r="A32" s="174" t="s">
        <v>236</v>
      </c>
      <c r="B32" s="175">
        <v>14</v>
      </c>
    </row>
    <row r="33" spans="1:2">
      <c r="A33" s="174" t="s">
        <v>237</v>
      </c>
      <c r="B33" s="175">
        <v>8</v>
      </c>
    </row>
    <row r="34" spans="1:2">
      <c r="A34" s="174" t="s">
        <v>238</v>
      </c>
      <c r="B34" s="175">
        <v>7</v>
      </c>
    </row>
    <row r="35" spans="1:2">
      <c r="A35" s="174" t="s">
        <v>239</v>
      </c>
      <c r="B35" s="175">
        <v>6</v>
      </c>
    </row>
    <row r="36" spans="1:2">
      <c r="A36" s="174" t="s">
        <v>240</v>
      </c>
      <c r="B36" s="175">
        <v>4</v>
      </c>
    </row>
    <row r="37" spans="1:2">
      <c r="A37" s="174" t="s">
        <v>241</v>
      </c>
      <c r="B37" s="175">
        <v>3</v>
      </c>
    </row>
    <row r="38" spans="1:2">
      <c r="A38" s="174" t="s">
        <v>242</v>
      </c>
      <c r="B38" s="175">
        <v>3</v>
      </c>
    </row>
    <row r="39" spans="1:2">
      <c r="A39" s="174" t="s">
        <v>243</v>
      </c>
      <c r="B39" s="175">
        <v>2</v>
      </c>
    </row>
    <row r="40" spans="1:2" ht="13.5" thickBot="1">
      <c r="A40" s="176" t="s">
        <v>244</v>
      </c>
      <c r="B40" s="177">
        <v>2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1"/>
  <dimension ref="A1:C139"/>
  <sheetViews>
    <sheetView showGridLines="0" workbookViewId="0">
      <selection sqref="A1:B18"/>
    </sheetView>
  </sheetViews>
  <sheetFormatPr defaultColWidth="10.6640625" defaultRowHeight="12.75"/>
  <cols>
    <col min="1" max="1" width="58.83203125" style="8" bestFit="1" customWidth="1"/>
    <col min="2" max="2" width="16.83203125" style="8" customWidth="1"/>
    <col min="3" max="3" width="10.6640625" style="8" customWidth="1"/>
    <col min="4" max="4" width="42" style="8" bestFit="1" customWidth="1"/>
    <col min="5" max="16384" width="10.6640625" style="8"/>
  </cols>
  <sheetData>
    <row r="1" spans="1:2" ht="13.5" thickBot="1">
      <c r="A1" s="180" t="s">
        <v>245</v>
      </c>
      <c r="B1" s="181" t="s">
        <v>204</v>
      </c>
    </row>
    <row r="2" spans="1:2">
      <c r="A2" s="178" t="s">
        <v>247</v>
      </c>
      <c r="B2" s="179">
        <v>1385</v>
      </c>
    </row>
    <row r="3" spans="1:2">
      <c r="A3" s="174" t="s">
        <v>249</v>
      </c>
      <c r="B3" s="175">
        <v>973</v>
      </c>
    </row>
    <row r="4" spans="1:2">
      <c r="A4" s="174" t="s">
        <v>251</v>
      </c>
      <c r="B4" s="175">
        <v>733</v>
      </c>
    </row>
    <row r="5" spans="1:2">
      <c r="A5" s="174" t="s">
        <v>253</v>
      </c>
      <c r="B5" s="175">
        <v>414</v>
      </c>
    </row>
    <row r="6" spans="1:2">
      <c r="A6" s="174" t="s">
        <v>255</v>
      </c>
      <c r="B6" s="175">
        <v>299</v>
      </c>
    </row>
    <row r="7" spans="1:2">
      <c r="A7" s="174" t="s">
        <v>257</v>
      </c>
      <c r="B7" s="175">
        <v>235</v>
      </c>
    </row>
    <row r="8" spans="1:2">
      <c r="A8" s="174" t="s">
        <v>258</v>
      </c>
      <c r="B8" s="175">
        <v>205</v>
      </c>
    </row>
    <row r="9" spans="1:2">
      <c r="A9" s="174" t="s">
        <v>259</v>
      </c>
      <c r="B9" s="175">
        <v>167</v>
      </c>
    </row>
    <row r="10" spans="1:2">
      <c r="A10" s="174" t="s">
        <v>260</v>
      </c>
      <c r="B10" s="175">
        <v>90</v>
      </c>
    </row>
    <row r="11" spans="1:2">
      <c r="A11" s="174" t="s">
        <v>261</v>
      </c>
      <c r="B11" s="175">
        <v>89</v>
      </c>
    </row>
    <row r="12" spans="1:2">
      <c r="A12" s="174" t="s">
        <v>262</v>
      </c>
      <c r="B12" s="175">
        <v>68</v>
      </c>
    </row>
    <row r="13" spans="1:2">
      <c r="A13" s="174" t="s">
        <v>263</v>
      </c>
      <c r="B13" s="175">
        <v>43</v>
      </c>
    </row>
    <row r="14" spans="1:2">
      <c r="A14" s="174" t="s">
        <v>264</v>
      </c>
      <c r="B14" s="175">
        <v>27</v>
      </c>
    </row>
    <row r="15" spans="1:2">
      <c r="A15" s="174" t="s">
        <v>265</v>
      </c>
      <c r="B15" s="175">
        <v>25</v>
      </c>
    </row>
    <row r="16" spans="1:2">
      <c r="A16" s="174" t="s">
        <v>266</v>
      </c>
      <c r="B16" s="175">
        <v>17</v>
      </c>
    </row>
    <row r="17" spans="1:2">
      <c r="A17" s="174" t="s">
        <v>267</v>
      </c>
      <c r="B17" s="175">
        <v>12</v>
      </c>
    </row>
    <row r="18" spans="1:2" ht="13.5" thickBot="1">
      <c r="A18" s="176" t="s">
        <v>268</v>
      </c>
      <c r="B18" s="177">
        <v>1</v>
      </c>
    </row>
    <row r="139" spans="3:3">
      <c r="C139" s="8">
        <v>39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1"/>
  <dimension ref="A1:B11"/>
  <sheetViews>
    <sheetView showGridLines="0" workbookViewId="0">
      <selection sqref="A1:B11"/>
    </sheetView>
  </sheetViews>
  <sheetFormatPr defaultColWidth="10.6640625" defaultRowHeight="12.75"/>
  <cols>
    <col min="1" max="1" width="48.33203125" style="8" bestFit="1" customWidth="1"/>
    <col min="2" max="2" width="17.6640625" style="8" customWidth="1"/>
    <col min="3" max="16384" width="10.6640625" style="8"/>
  </cols>
  <sheetData>
    <row r="1" spans="1:2" ht="13.5" thickBot="1">
      <c r="A1" s="180" t="s">
        <v>269</v>
      </c>
      <c r="B1" s="181" t="s">
        <v>204</v>
      </c>
    </row>
    <row r="2" spans="1:2">
      <c r="A2" s="178" t="s">
        <v>270</v>
      </c>
      <c r="B2" s="179">
        <v>364</v>
      </c>
    </row>
    <row r="3" spans="1:2">
      <c r="A3" s="174" t="s">
        <v>271</v>
      </c>
      <c r="B3" s="175">
        <v>115</v>
      </c>
    </row>
    <row r="4" spans="1:2">
      <c r="A4" s="174" t="s">
        <v>272</v>
      </c>
      <c r="B4" s="175">
        <v>39</v>
      </c>
    </row>
    <row r="5" spans="1:2">
      <c r="A5" s="174" t="s">
        <v>273</v>
      </c>
      <c r="B5" s="175">
        <v>22</v>
      </c>
    </row>
    <row r="6" spans="1:2">
      <c r="A6" s="174" t="s">
        <v>274</v>
      </c>
      <c r="B6" s="175">
        <v>7</v>
      </c>
    </row>
    <row r="7" spans="1:2">
      <c r="A7" s="174" t="s">
        <v>275</v>
      </c>
      <c r="B7" s="175">
        <v>6</v>
      </c>
    </row>
    <row r="8" spans="1:2">
      <c r="A8" s="174" t="s">
        <v>276</v>
      </c>
      <c r="B8" s="175">
        <v>4</v>
      </c>
    </row>
    <row r="9" spans="1:2">
      <c r="A9" s="174" t="s">
        <v>277</v>
      </c>
      <c r="B9" s="175">
        <v>2</v>
      </c>
    </row>
    <row r="10" spans="1:2">
      <c r="A10" s="174" t="s">
        <v>278</v>
      </c>
      <c r="B10" s="175">
        <v>2</v>
      </c>
    </row>
    <row r="11" spans="1:2" ht="13.5" thickBot="1">
      <c r="A11" s="176" t="s">
        <v>279</v>
      </c>
      <c r="B11" s="177">
        <v>1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showGridLines="0" workbookViewId="0">
      <selection sqref="A1:B13"/>
    </sheetView>
  </sheetViews>
  <sheetFormatPr defaultRowHeight="12.75"/>
  <cols>
    <col min="1" max="1" width="9.33203125" style="29"/>
    <col min="2" max="2" width="15.33203125" style="29" customWidth="1"/>
    <col min="3" max="4" width="9.33203125" style="29"/>
    <col min="5" max="5" width="12" style="29" bestFit="1" customWidth="1"/>
    <col min="6" max="6" width="13.33203125" style="29" customWidth="1"/>
    <col min="7" max="8" width="9.33203125" style="29"/>
    <col min="9" max="9" width="12.5" style="29" bestFit="1" customWidth="1"/>
    <col min="10" max="10" width="16.6640625" style="29" customWidth="1"/>
    <col min="11" max="16384" width="9.33203125" style="29"/>
  </cols>
  <sheetData>
    <row r="1" spans="1:10" ht="51.75" thickBot="1">
      <c r="A1" s="189"/>
      <c r="B1" s="190" t="s">
        <v>1191</v>
      </c>
      <c r="E1" s="189" t="s">
        <v>1146</v>
      </c>
      <c r="F1" s="190" t="s">
        <v>1191</v>
      </c>
      <c r="I1" s="189" t="s">
        <v>1147</v>
      </c>
      <c r="J1" s="190" t="s">
        <v>1191</v>
      </c>
    </row>
    <row r="2" spans="1:10">
      <c r="A2" s="187">
        <v>2008</v>
      </c>
      <c r="B2" s="188">
        <v>200</v>
      </c>
      <c r="E2" s="187" t="s">
        <v>1148</v>
      </c>
      <c r="F2" s="188">
        <v>416</v>
      </c>
      <c r="I2" s="187" t="s">
        <v>1149</v>
      </c>
      <c r="J2" s="188">
        <v>305</v>
      </c>
    </row>
    <row r="3" spans="1:10">
      <c r="A3" s="183">
        <v>2009</v>
      </c>
      <c r="B3" s="184">
        <v>402</v>
      </c>
      <c r="E3" s="183" t="s">
        <v>1150</v>
      </c>
      <c r="F3" s="184">
        <v>1176</v>
      </c>
      <c r="I3" s="183" t="s">
        <v>1151</v>
      </c>
      <c r="J3" s="184">
        <v>1117</v>
      </c>
    </row>
    <row r="4" spans="1:10">
      <c r="A4" s="187">
        <v>2010</v>
      </c>
      <c r="B4" s="184">
        <v>358</v>
      </c>
      <c r="E4" s="183" t="s">
        <v>1152</v>
      </c>
      <c r="F4" s="184">
        <v>1420</v>
      </c>
      <c r="I4" s="183" t="s">
        <v>1153</v>
      </c>
      <c r="J4" s="184">
        <v>1330</v>
      </c>
    </row>
    <row r="5" spans="1:10" ht="13.5" thickBot="1">
      <c r="A5" s="183">
        <v>2011</v>
      </c>
      <c r="B5" s="184">
        <v>327</v>
      </c>
      <c r="E5" s="185" t="s">
        <v>1154</v>
      </c>
      <c r="F5" s="186">
        <v>428</v>
      </c>
      <c r="I5" s="183" t="s">
        <v>1155</v>
      </c>
      <c r="J5" s="184">
        <v>455</v>
      </c>
    </row>
    <row r="6" spans="1:10" ht="13.5" thickBot="1">
      <c r="A6" s="187">
        <v>2012</v>
      </c>
      <c r="B6" s="184">
        <v>361</v>
      </c>
      <c r="I6" s="185" t="s">
        <v>1156</v>
      </c>
      <c r="J6" s="186">
        <v>230</v>
      </c>
    </row>
    <row r="7" spans="1:10">
      <c r="A7" s="183">
        <v>2013</v>
      </c>
      <c r="B7" s="184">
        <v>281</v>
      </c>
    </row>
    <row r="8" spans="1:10">
      <c r="A8" s="187">
        <v>2014</v>
      </c>
      <c r="B8" s="184">
        <v>318</v>
      </c>
    </row>
    <row r="9" spans="1:10">
      <c r="A9" s="183">
        <v>2015</v>
      </c>
      <c r="B9" s="184">
        <v>238</v>
      </c>
    </row>
    <row r="10" spans="1:10">
      <c r="A10" s="187">
        <v>2016</v>
      </c>
      <c r="B10" s="184">
        <v>235</v>
      </c>
    </row>
    <row r="11" spans="1:10">
      <c r="A11" s="183">
        <v>2017</v>
      </c>
      <c r="B11" s="184">
        <v>230</v>
      </c>
    </row>
    <row r="12" spans="1:10">
      <c r="A12" s="187">
        <v>2018</v>
      </c>
      <c r="B12" s="184">
        <v>242</v>
      </c>
    </row>
    <row r="13" spans="1:10" ht="13.5" thickBot="1">
      <c r="A13" s="183">
        <v>2019</v>
      </c>
      <c r="B13" s="186">
        <v>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/>
  <dimension ref="A1:K7"/>
  <sheetViews>
    <sheetView showGridLines="0" workbookViewId="0">
      <selection sqref="A1:F7"/>
    </sheetView>
  </sheetViews>
  <sheetFormatPr defaultRowHeight="12.75"/>
  <cols>
    <col min="1" max="1" width="18" bestFit="1" customWidth="1"/>
  </cols>
  <sheetData>
    <row r="1" spans="1:11" ht="13.5" thickBot="1">
      <c r="A1" s="104"/>
      <c r="B1" s="196" t="s">
        <v>1106</v>
      </c>
      <c r="C1" s="196" t="s">
        <v>1107</v>
      </c>
      <c r="D1" s="196" t="s">
        <v>1108</v>
      </c>
      <c r="E1" s="196" t="s">
        <v>1109</v>
      </c>
      <c r="F1" s="197" t="s">
        <v>1110</v>
      </c>
      <c r="H1" s="337" t="s">
        <v>1117</v>
      </c>
      <c r="I1" s="338"/>
      <c r="J1" s="338"/>
      <c r="K1" s="339"/>
    </row>
    <row r="2" spans="1:11">
      <c r="A2" s="89" t="s">
        <v>1111</v>
      </c>
      <c r="B2" s="194">
        <v>35</v>
      </c>
      <c r="C2" s="194">
        <v>30</v>
      </c>
      <c r="D2" s="194">
        <v>33</v>
      </c>
      <c r="E2" s="194">
        <v>34</v>
      </c>
      <c r="F2" s="195">
        <v>24</v>
      </c>
    </row>
    <row r="3" spans="1:11">
      <c r="A3" s="61" t="s">
        <v>1112</v>
      </c>
      <c r="B3" s="30">
        <v>36</v>
      </c>
      <c r="C3" s="30">
        <v>22</v>
      </c>
      <c r="D3" s="30">
        <v>27</v>
      </c>
      <c r="E3" s="30">
        <v>25</v>
      </c>
      <c r="F3" s="191">
        <v>17</v>
      </c>
    </row>
    <row r="4" spans="1:11">
      <c r="A4" s="61" t="s">
        <v>1113</v>
      </c>
      <c r="B4" s="30">
        <v>29</v>
      </c>
      <c r="C4" s="30">
        <v>38</v>
      </c>
      <c r="D4" s="30">
        <v>27</v>
      </c>
      <c r="E4" s="30">
        <v>28</v>
      </c>
      <c r="F4" s="191">
        <v>28</v>
      </c>
    </row>
    <row r="5" spans="1:11">
      <c r="A5" s="61" t="s">
        <v>1114</v>
      </c>
      <c r="B5" s="30">
        <v>45</v>
      </c>
      <c r="C5" s="30">
        <v>25</v>
      </c>
      <c r="D5" s="30">
        <v>36</v>
      </c>
      <c r="E5" s="30">
        <v>28</v>
      </c>
      <c r="F5" s="191">
        <v>21</v>
      </c>
    </row>
    <row r="6" spans="1:11">
      <c r="A6" s="61" t="s">
        <v>1115</v>
      </c>
      <c r="B6" s="30">
        <v>20</v>
      </c>
      <c r="C6" s="30">
        <v>28</v>
      </c>
      <c r="D6" s="30">
        <v>27</v>
      </c>
      <c r="E6" s="30">
        <v>23</v>
      </c>
      <c r="F6" s="191">
        <v>30</v>
      </c>
    </row>
    <row r="7" spans="1:11" ht="13.5" thickBot="1">
      <c r="A7" s="63" t="s">
        <v>1116</v>
      </c>
      <c r="B7" s="192">
        <v>22</v>
      </c>
      <c r="C7" s="192">
        <v>36</v>
      </c>
      <c r="D7" s="192">
        <v>28</v>
      </c>
      <c r="E7" s="192">
        <v>20</v>
      </c>
      <c r="F7" s="193">
        <v>33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A1:Y96"/>
  <sheetViews>
    <sheetView showGridLines="0" workbookViewId="0">
      <pane ySplit="1" topLeftCell="A2" activePane="bottomLeft" state="frozen"/>
      <selection pane="bottomLeft" sqref="A1:B26"/>
    </sheetView>
  </sheetViews>
  <sheetFormatPr defaultColWidth="13.33203125" defaultRowHeight="12.75"/>
  <cols>
    <col min="1" max="1" width="9.5" style="31" customWidth="1"/>
    <col min="2" max="2" width="9.6640625" style="31" customWidth="1"/>
    <col min="3" max="3" width="3" style="31" customWidth="1"/>
    <col min="4" max="4" width="9.33203125" style="31" bestFit="1" customWidth="1"/>
    <col min="5" max="5" width="18.5" style="31" customWidth="1"/>
    <col min="6" max="6" width="3" style="31" customWidth="1"/>
    <col min="7" max="7" width="9.33203125" style="31" bestFit="1" customWidth="1"/>
    <col min="8" max="8" width="15.83203125" style="31" customWidth="1"/>
    <col min="9" max="9" width="3" style="31" customWidth="1"/>
    <col min="10" max="10" width="5.33203125" style="31" bestFit="1" customWidth="1"/>
    <col min="11" max="11" width="13.33203125" style="31" customWidth="1"/>
    <col min="12" max="12" width="3" style="31" customWidth="1"/>
    <col min="13" max="13" width="3.6640625" style="31" bestFit="1" customWidth="1"/>
    <col min="14" max="14" width="16.6640625" style="31" customWidth="1"/>
    <col min="15" max="15" width="3" style="31" customWidth="1"/>
    <col min="16" max="16" width="5.6640625" style="31" bestFit="1" customWidth="1"/>
    <col min="17" max="17" width="11.1640625" style="31" customWidth="1"/>
    <col min="18" max="18" width="3" style="31" customWidth="1"/>
    <col min="19" max="19" width="7.1640625" style="31" bestFit="1" customWidth="1"/>
    <col min="20" max="20" width="14.5" style="31" customWidth="1"/>
    <col min="21" max="21" width="14" style="31" bestFit="1" customWidth="1"/>
    <col min="22" max="24" width="13.33203125" style="31"/>
    <col min="25" max="25" width="15" style="31" bestFit="1" customWidth="1"/>
    <col min="26" max="16384" width="13.33203125" style="31"/>
  </cols>
  <sheetData>
    <row r="1" spans="1:25" ht="51.75" thickBot="1">
      <c r="A1" s="205"/>
      <c r="B1" s="197" t="s">
        <v>0</v>
      </c>
      <c r="D1" s="104"/>
      <c r="E1" s="197" t="s">
        <v>159</v>
      </c>
      <c r="G1" s="205"/>
      <c r="H1" s="197" t="s">
        <v>160</v>
      </c>
      <c r="J1" s="104"/>
      <c r="K1" s="102" t="s">
        <v>1098</v>
      </c>
      <c r="L1" s="23"/>
      <c r="M1" s="104"/>
      <c r="N1" s="102" t="s">
        <v>1099</v>
      </c>
      <c r="P1" s="205"/>
      <c r="Q1" s="197" t="s">
        <v>1105</v>
      </c>
      <c r="S1" s="104"/>
      <c r="T1" s="102" t="s">
        <v>1132</v>
      </c>
      <c r="V1" s="340" t="s">
        <v>1117</v>
      </c>
      <c r="W1" s="341"/>
      <c r="X1" s="342"/>
    </row>
    <row r="2" spans="1:25">
      <c r="A2" s="324">
        <v>43099</v>
      </c>
      <c r="B2" s="195">
        <v>1</v>
      </c>
      <c r="D2" s="89" t="s">
        <v>1209</v>
      </c>
      <c r="E2" s="195">
        <v>15</v>
      </c>
      <c r="G2" s="89" t="s">
        <v>1209</v>
      </c>
      <c r="H2" s="90">
        <v>4</v>
      </c>
      <c r="J2" s="89" t="s">
        <v>14</v>
      </c>
      <c r="K2" s="90">
        <v>74</v>
      </c>
      <c r="L2" s="23"/>
      <c r="M2" s="89" t="s">
        <v>1100</v>
      </c>
      <c r="N2" s="90">
        <v>10</v>
      </c>
      <c r="P2" s="204" t="s">
        <v>1106</v>
      </c>
      <c r="Q2" s="195">
        <v>35</v>
      </c>
      <c r="S2" s="203">
        <v>43885</v>
      </c>
      <c r="T2" s="90">
        <v>11</v>
      </c>
      <c r="Y2" s="292"/>
    </row>
    <row r="3" spans="1:25">
      <c r="A3" s="324">
        <v>43130</v>
      </c>
      <c r="B3" s="191">
        <v>3</v>
      </c>
      <c r="D3" s="61" t="s">
        <v>104</v>
      </c>
      <c r="E3" s="191">
        <v>13</v>
      </c>
      <c r="G3" s="61" t="s">
        <v>104</v>
      </c>
      <c r="H3" s="62">
        <v>2</v>
      </c>
      <c r="J3" s="61" t="s">
        <v>13</v>
      </c>
      <c r="K3" s="62">
        <v>70</v>
      </c>
      <c r="L3" s="23"/>
      <c r="M3" s="61" t="s">
        <v>105</v>
      </c>
      <c r="N3" s="62">
        <v>7</v>
      </c>
      <c r="P3" s="198" t="s">
        <v>1107</v>
      </c>
      <c r="Q3" s="191">
        <v>30</v>
      </c>
      <c r="S3" s="200">
        <v>43886</v>
      </c>
      <c r="T3" s="62">
        <v>11</v>
      </c>
      <c r="Y3" s="292"/>
    </row>
    <row r="4" spans="1:25">
      <c r="A4" s="324">
        <v>43159</v>
      </c>
      <c r="B4" s="191">
        <v>0</v>
      </c>
      <c r="D4" s="61" t="s">
        <v>1210</v>
      </c>
      <c r="E4" s="191">
        <v>14</v>
      </c>
      <c r="G4" s="61" t="s">
        <v>1210</v>
      </c>
      <c r="H4" s="62">
        <v>1</v>
      </c>
      <c r="J4" s="61" t="s">
        <v>16</v>
      </c>
      <c r="K4" s="62">
        <v>67</v>
      </c>
      <c r="L4" s="23"/>
      <c r="M4" s="61" t="s">
        <v>106</v>
      </c>
      <c r="N4" s="62">
        <v>3</v>
      </c>
      <c r="P4" s="198" t="s">
        <v>1108</v>
      </c>
      <c r="Q4" s="191">
        <v>33</v>
      </c>
      <c r="S4" s="200">
        <v>43887</v>
      </c>
      <c r="T4" s="62">
        <v>6</v>
      </c>
      <c r="Y4" s="292"/>
    </row>
    <row r="5" spans="1:25">
      <c r="A5" s="324">
        <v>43190</v>
      </c>
      <c r="B5" s="191">
        <v>1</v>
      </c>
      <c r="D5" s="61" t="s">
        <v>105</v>
      </c>
      <c r="E5" s="191">
        <v>14</v>
      </c>
      <c r="G5" s="61" t="s">
        <v>105</v>
      </c>
      <c r="H5" s="62">
        <v>5</v>
      </c>
      <c r="J5" s="61" t="s">
        <v>18</v>
      </c>
      <c r="K5" s="62">
        <v>65</v>
      </c>
      <c r="L5" s="23"/>
      <c r="M5" s="61" t="s">
        <v>104</v>
      </c>
      <c r="N5" s="62">
        <v>10</v>
      </c>
      <c r="P5" s="198" t="s">
        <v>1109</v>
      </c>
      <c r="Q5" s="191">
        <v>34</v>
      </c>
      <c r="S5" s="200">
        <v>43888</v>
      </c>
      <c r="T5" s="62">
        <v>10</v>
      </c>
      <c r="Y5" s="292"/>
    </row>
    <row r="6" spans="1:25">
      <c r="A6" s="324">
        <v>43220</v>
      </c>
      <c r="B6" s="191">
        <v>2</v>
      </c>
      <c r="D6" s="61" t="s">
        <v>106</v>
      </c>
      <c r="E6" s="191">
        <v>19</v>
      </c>
      <c r="G6" s="61" t="s">
        <v>106</v>
      </c>
      <c r="H6" s="62">
        <v>3</v>
      </c>
      <c r="J6" s="61" t="s">
        <v>20</v>
      </c>
      <c r="K6" s="62">
        <v>63</v>
      </c>
      <c r="L6" s="23"/>
      <c r="M6" s="61" t="s">
        <v>1100</v>
      </c>
      <c r="N6" s="62">
        <v>10</v>
      </c>
      <c r="P6" s="198" t="s">
        <v>1110</v>
      </c>
      <c r="Q6" s="191">
        <v>24</v>
      </c>
      <c r="S6" s="200">
        <v>43889</v>
      </c>
      <c r="T6" s="62">
        <v>6</v>
      </c>
      <c r="Y6" s="292"/>
    </row>
    <row r="7" spans="1:25">
      <c r="A7" s="324">
        <v>43251</v>
      </c>
      <c r="B7" s="191">
        <v>0</v>
      </c>
      <c r="D7" s="61" t="s">
        <v>104</v>
      </c>
      <c r="E7" s="191">
        <v>17</v>
      </c>
      <c r="G7" s="61" t="s">
        <v>104</v>
      </c>
      <c r="H7" s="62">
        <v>5</v>
      </c>
      <c r="J7" s="61" t="s">
        <v>22</v>
      </c>
      <c r="K7" s="62">
        <v>82</v>
      </c>
      <c r="L7" s="23"/>
      <c r="M7" s="61" t="s">
        <v>105</v>
      </c>
      <c r="N7" s="62">
        <v>8</v>
      </c>
      <c r="P7" s="198" t="s">
        <v>1106</v>
      </c>
      <c r="Q7" s="191">
        <v>36</v>
      </c>
      <c r="S7" s="200">
        <v>43890</v>
      </c>
      <c r="T7" s="62">
        <v>4</v>
      </c>
      <c r="Y7" s="292"/>
    </row>
    <row r="8" spans="1:25">
      <c r="A8" s="324">
        <v>43281</v>
      </c>
      <c r="B8" s="191">
        <v>1</v>
      </c>
      <c r="D8" s="61" t="s">
        <v>1211</v>
      </c>
      <c r="E8" s="191">
        <v>19</v>
      </c>
      <c r="G8" s="61" t="s">
        <v>1211</v>
      </c>
      <c r="H8" s="62">
        <v>4</v>
      </c>
      <c r="J8" s="61" t="s">
        <v>15</v>
      </c>
      <c r="K8" s="62">
        <v>110</v>
      </c>
      <c r="L8" s="23"/>
      <c r="M8" s="61" t="s">
        <v>106</v>
      </c>
      <c r="N8" s="62">
        <v>12</v>
      </c>
      <c r="P8" s="198" t="s">
        <v>1107</v>
      </c>
      <c r="Q8" s="191">
        <v>22</v>
      </c>
      <c r="S8" s="200">
        <v>43891</v>
      </c>
      <c r="T8" s="62">
        <v>11</v>
      </c>
      <c r="Y8" s="292"/>
    </row>
    <row r="9" spans="1:25">
      <c r="A9" s="324">
        <v>43312</v>
      </c>
      <c r="B9" s="191">
        <v>0</v>
      </c>
      <c r="D9" s="61" t="s">
        <v>105</v>
      </c>
      <c r="E9" s="191">
        <v>19</v>
      </c>
      <c r="G9" s="61" t="s">
        <v>105</v>
      </c>
      <c r="H9" s="62">
        <v>9</v>
      </c>
      <c r="J9" s="61" t="s">
        <v>17</v>
      </c>
      <c r="K9" s="62">
        <v>61</v>
      </c>
      <c r="L9" s="23"/>
      <c r="M9" s="61" t="s">
        <v>104</v>
      </c>
      <c r="N9" s="62">
        <v>8</v>
      </c>
      <c r="P9" s="198" t="s">
        <v>1108</v>
      </c>
      <c r="Q9" s="191">
        <v>27</v>
      </c>
      <c r="S9" s="200">
        <v>43892</v>
      </c>
      <c r="T9" s="62">
        <v>8</v>
      </c>
      <c r="Y9" s="292"/>
    </row>
    <row r="10" spans="1:25">
      <c r="A10" s="324">
        <v>43343</v>
      </c>
      <c r="B10" s="191">
        <v>3</v>
      </c>
      <c r="D10" s="61" t="s">
        <v>106</v>
      </c>
      <c r="E10" s="191">
        <v>24</v>
      </c>
      <c r="G10" s="61" t="s">
        <v>106</v>
      </c>
      <c r="H10" s="62">
        <v>3</v>
      </c>
      <c r="J10" s="61" t="s">
        <v>19</v>
      </c>
      <c r="K10" s="62">
        <v>75</v>
      </c>
      <c r="L10" s="23"/>
      <c r="M10" s="61" t="s">
        <v>1100</v>
      </c>
      <c r="N10" s="62">
        <v>6</v>
      </c>
      <c r="P10" s="198" t="s">
        <v>1109</v>
      </c>
      <c r="Q10" s="191">
        <v>25</v>
      </c>
      <c r="S10" s="200">
        <v>43893</v>
      </c>
      <c r="T10" s="62">
        <v>6</v>
      </c>
      <c r="Y10" s="292"/>
    </row>
    <row r="11" spans="1:25">
      <c r="A11" s="324">
        <v>43373</v>
      </c>
      <c r="B11" s="191">
        <v>5</v>
      </c>
      <c r="D11" s="61" t="s">
        <v>104</v>
      </c>
      <c r="E11" s="191">
        <v>13</v>
      </c>
      <c r="G11" s="61" t="s">
        <v>104</v>
      </c>
      <c r="H11" s="62">
        <v>4</v>
      </c>
      <c r="J11" s="61" t="s">
        <v>21</v>
      </c>
      <c r="K11" s="62">
        <v>78</v>
      </c>
      <c r="L11" s="23"/>
      <c r="M11" s="61" t="s">
        <v>105</v>
      </c>
      <c r="N11" s="62">
        <v>7</v>
      </c>
      <c r="P11" s="198" t="s">
        <v>1110</v>
      </c>
      <c r="Q11" s="191">
        <v>17</v>
      </c>
      <c r="S11" s="200">
        <v>43894</v>
      </c>
      <c r="T11" s="62">
        <v>6</v>
      </c>
      <c r="Y11" s="292"/>
    </row>
    <row r="12" spans="1:25">
      <c r="A12" s="324">
        <v>43404</v>
      </c>
      <c r="B12" s="191">
        <v>2</v>
      </c>
      <c r="D12" s="61" t="s">
        <v>1192</v>
      </c>
      <c r="E12" s="191">
        <v>11</v>
      </c>
      <c r="G12" s="61" t="s">
        <v>1192</v>
      </c>
      <c r="H12" s="62">
        <v>6</v>
      </c>
      <c r="J12" s="61" t="s">
        <v>23</v>
      </c>
      <c r="K12" s="62">
        <v>76</v>
      </c>
      <c r="L12" s="23"/>
      <c r="M12" s="61" t="s">
        <v>106</v>
      </c>
      <c r="N12" s="62">
        <v>13</v>
      </c>
      <c r="P12" s="198" t="s">
        <v>1106</v>
      </c>
      <c r="Q12" s="191">
        <v>29</v>
      </c>
      <c r="S12" s="200">
        <v>43895</v>
      </c>
      <c r="T12" s="62">
        <v>4</v>
      </c>
      <c r="Y12" s="292"/>
    </row>
    <row r="13" spans="1:25">
      <c r="A13" s="324">
        <v>43434</v>
      </c>
      <c r="B13" s="191">
        <v>0</v>
      </c>
      <c r="D13" s="61" t="s">
        <v>105</v>
      </c>
      <c r="E13" s="191">
        <v>11</v>
      </c>
      <c r="G13" s="61" t="s">
        <v>105</v>
      </c>
      <c r="H13" s="62">
        <v>2</v>
      </c>
      <c r="J13" s="61" t="s">
        <v>25</v>
      </c>
      <c r="K13" s="62">
        <v>78</v>
      </c>
      <c r="L13" s="23"/>
      <c r="M13" s="61" t="s">
        <v>104</v>
      </c>
      <c r="N13" s="62">
        <v>6</v>
      </c>
      <c r="P13" s="198" t="s">
        <v>1107</v>
      </c>
      <c r="Q13" s="191">
        <v>38</v>
      </c>
      <c r="S13" s="200">
        <v>43896</v>
      </c>
      <c r="T13" s="62">
        <v>9</v>
      </c>
      <c r="Y13" s="292"/>
    </row>
    <row r="14" spans="1:25">
      <c r="A14" s="324">
        <v>43465</v>
      </c>
      <c r="B14" s="191">
        <v>1</v>
      </c>
      <c r="D14" s="61" t="s">
        <v>106</v>
      </c>
      <c r="E14" s="191">
        <v>15</v>
      </c>
      <c r="G14" s="61" t="s">
        <v>106</v>
      </c>
      <c r="H14" s="62">
        <v>6</v>
      </c>
      <c r="J14" s="61" t="s">
        <v>14</v>
      </c>
      <c r="K14" s="62">
        <v>75</v>
      </c>
      <c r="L14" s="23"/>
      <c r="M14" s="61" t="s">
        <v>1100</v>
      </c>
      <c r="N14" s="62">
        <v>9</v>
      </c>
      <c r="P14" s="198" t="s">
        <v>1108</v>
      </c>
      <c r="Q14" s="191">
        <v>27</v>
      </c>
      <c r="S14" s="200">
        <v>43897</v>
      </c>
      <c r="T14" s="62">
        <v>5</v>
      </c>
      <c r="Y14" s="292"/>
    </row>
    <row r="15" spans="1:25">
      <c r="A15" s="324">
        <v>43496</v>
      </c>
      <c r="B15" s="191">
        <v>0</v>
      </c>
      <c r="D15" s="61" t="s">
        <v>104</v>
      </c>
      <c r="E15" s="191">
        <v>16</v>
      </c>
      <c r="G15" s="61" t="s">
        <v>104</v>
      </c>
      <c r="H15" s="62">
        <v>1</v>
      </c>
      <c r="J15" s="61" t="s">
        <v>13</v>
      </c>
      <c r="K15" s="62">
        <v>63</v>
      </c>
      <c r="L15" s="23"/>
      <c r="M15" s="61" t="s">
        <v>105</v>
      </c>
      <c r="N15" s="62">
        <v>3</v>
      </c>
      <c r="P15" s="198" t="s">
        <v>1109</v>
      </c>
      <c r="Q15" s="191">
        <v>28</v>
      </c>
      <c r="S15" s="200">
        <v>43898</v>
      </c>
      <c r="T15" s="62">
        <v>8</v>
      </c>
      <c r="Y15" s="292"/>
    </row>
    <row r="16" spans="1:25">
      <c r="A16" s="324">
        <v>43524</v>
      </c>
      <c r="B16" s="191">
        <v>3</v>
      </c>
      <c r="D16" s="61" t="s">
        <v>1193</v>
      </c>
      <c r="E16" s="191">
        <v>21</v>
      </c>
      <c r="G16" s="61" t="s">
        <v>1193</v>
      </c>
      <c r="H16" s="62">
        <v>3</v>
      </c>
      <c r="J16" s="61" t="s">
        <v>16</v>
      </c>
      <c r="K16" s="62">
        <v>71</v>
      </c>
      <c r="L16" s="23"/>
      <c r="M16" s="61" t="s">
        <v>106</v>
      </c>
      <c r="N16" s="62">
        <v>10</v>
      </c>
      <c r="P16" s="198" t="s">
        <v>1110</v>
      </c>
      <c r="Q16" s="191">
        <v>28</v>
      </c>
      <c r="S16" s="200">
        <v>43899</v>
      </c>
      <c r="T16" s="62">
        <v>2</v>
      </c>
      <c r="Y16" s="292"/>
    </row>
    <row r="17" spans="1:25">
      <c r="A17" s="324">
        <v>43554</v>
      </c>
      <c r="B17" s="191">
        <v>1</v>
      </c>
      <c r="D17" s="61" t="s">
        <v>105</v>
      </c>
      <c r="E17" s="191">
        <v>18</v>
      </c>
      <c r="G17" s="61" t="s">
        <v>105</v>
      </c>
      <c r="H17" s="62">
        <v>8</v>
      </c>
      <c r="J17" s="61" t="s">
        <v>18</v>
      </c>
      <c r="K17" s="62">
        <v>59</v>
      </c>
      <c r="L17" s="23"/>
      <c r="M17" s="61" t="s">
        <v>104</v>
      </c>
      <c r="N17" s="62">
        <v>2</v>
      </c>
      <c r="P17" s="198" t="s">
        <v>1106</v>
      </c>
      <c r="Q17" s="191">
        <v>45</v>
      </c>
      <c r="S17" s="200">
        <v>43900</v>
      </c>
      <c r="T17" s="62">
        <v>6</v>
      </c>
      <c r="Y17" s="292"/>
    </row>
    <row r="18" spans="1:25">
      <c r="A18" s="324">
        <v>43584</v>
      </c>
      <c r="B18" s="191">
        <v>2</v>
      </c>
      <c r="D18" s="61" t="s">
        <v>106</v>
      </c>
      <c r="E18" s="191">
        <v>25</v>
      </c>
      <c r="G18" s="61" t="s">
        <v>106</v>
      </c>
      <c r="H18" s="62">
        <v>8</v>
      </c>
      <c r="J18" s="61" t="s">
        <v>20</v>
      </c>
      <c r="K18" s="62">
        <v>70</v>
      </c>
      <c r="L18" s="23"/>
      <c r="M18" s="61" t="s">
        <v>1100</v>
      </c>
      <c r="N18" s="62">
        <v>9</v>
      </c>
      <c r="P18" s="198" t="s">
        <v>1107</v>
      </c>
      <c r="Q18" s="191">
        <v>25</v>
      </c>
      <c r="S18" s="200">
        <v>43901</v>
      </c>
      <c r="T18" s="62">
        <v>11</v>
      </c>
      <c r="Y18" s="292"/>
    </row>
    <row r="19" spans="1:25">
      <c r="A19" s="324">
        <v>43615</v>
      </c>
      <c r="B19" s="191">
        <v>3</v>
      </c>
      <c r="D19" s="61" t="s">
        <v>104</v>
      </c>
      <c r="E19" s="191">
        <v>14</v>
      </c>
      <c r="G19" s="61" t="s">
        <v>104</v>
      </c>
      <c r="H19" s="62">
        <v>7</v>
      </c>
      <c r="J19" s="61" t="s">
        <v>22</v>
      </c>
      <c r="K19" s="62">
        <v>66</v>
      </c>
      <c r="L19" s="23"/>
      <c r="M19" s="61" t="s">
        <v>105</v>
      </c>
      <c r="N19" s="62">
        <v>12</v>
      </c>
      <c r="P19" s="198" t="s">
        <v>1108</v>
      </c>
      <c r="Q19" s="191">
        <v>36</v>
      </c>
      <c r="S19" s="200">
        <v>43902</v>
      </c>
      <c r="T19" s="62">
        <v>5</v>
      </c>
      <c r="Y19" s="292"/>
    </row>
    <row r="20" spans="1:25" ht="13.5" thickBot="1">
      <c r="A20" s="324">
        <v>43645</v>
      </c>
      <c r="B20" s="191">
        <v>2</v>
      </c>
      <c r="D20" s="61" t="s">
        <v>1212</v>
      </c>
      <c r="E20" s="191">
        <v>14</v>
      </c>
      <c r="G20" s="61" t="s">
        <v>1212</v>
      </c>
      <c r="H20" s="62">
        <v>6</v>
      </c>
      <c r="J20" s="61" t="s">
        <v>15</v>
      </c>
      <c r="K20" s="62">
        <v>97</v>
      </c>
      <c r="L20" s="23"/>
      <c r="M20" s="63" t="s">
        <v>106</v>
      </c>
      <c r="N20" s="64">
        <v>5</v>
      </c>
      <c r="P20" s="198" t="s">
        <v>1109</v>
      </c>
      <c r="Q20" s="191">
        <v>28</v>
      </c>
      <c r="S20" s="200">
        <v>43903</v>
      </c>
      <c r="T20" s="62">
        <v>6</v>
      </c>
      <c r="Y20" s="292"/>
    </row>
    <row r="21" spans="1:25">
      <c r="A21" s="324">
        <v>43676</v>
      </c>
      <c r="B21" s="191">
        <v>1</v>
      </c>
      <c r="D21" s="61" t="s">
        <v>105</v>
      </c>
      <c r="E21" s="191">
        <v>7</v>
      </c>
      <c r="G21" s="61" t="s">
        <v>105</v>
      </c>
      <c r="H21" s="62">
        <v>3</v>
      </c>
      <c r="J21" s="61" t="s">
        <v>17</v>
      </c>
      <c r="K21" s="62">
        <v>71</v>
      </c>
      <c r="L21" s="23"/>
      <c r="M21" s="23"/>
      <c r="N21" s="23"/>
      <c r="P21" s="198" t="s">
        <v>1110</v>
      </c>
      <c r="Q21" s="191">
        <v>21</v>
      </c>
      <c r="S21" s="200">
        <v>43904</v>
      </c>
      <c r="T21" s="62">
        <v>7</v>
      </c>
      <c r="Y21" s="292"/>
    </row>
    <row r="22" spans="1:25">
      <c r="A22" s="324">
        <v>43707</v>
      </c>
      <c r="B22" s="191">
        <v>0</v>
      </c>
      <c r="D22" s="61" t="s">
        <v>106</v>
      </c>
      <c r="E22" s="191">
        <v>13</v>
      </c>
      <c r="G22" s="61" t="s">
        <v>106</v>
      </c>
      <c r="H22" s="62">
        <v>3</v>
      </c>
      <c r="J22" s="61" t="s">
        <v>19</v>
      </c>
      <c r="K22" s="62">
        <v>84</v>
      </c>
      <c r="L22" s="23"/>
      <c r="M22" s="23"/>
      <c r="N22" s="23"/>
      <c r="P22" s="198" t="s">
        <v>1106</v>
      </c>
      <c r="Q22" s="191">
        <v>20</v>
      </c>
      <c r="S22" s="200">
        <v>43905</v>
      </c>
      <c r="T22" s="62">
        <v>3</v>
      </c>
      <c r="Y22" s="292"/>
    </row>
    <row r="23" spans="1:25" ht="13.5" thickBot="1">
      <c r="A23" s="324">
        <v>43737</v>
      </c>
      <c r="B23" s="191">
        <v>3</v>
      </c>
      <c r="D23" s="63" t="s">
        <v>104</v>
      </c>
      <c r="E23" s="193">
        <v>14</v>
      </c>
      <c r="G23" s="63" t="s">
        <v>104</v>
      </c>
      <c r="H23" s="64">
        <v>7</v>
      </c>
      <c r="J23" s="61" t="s">
        <v>21</v>
      </c>
      <c r="K23" s="62">
        <v>85</v>
      </c>
      <c r="L23" s="23"/>
      <c r="M23" s="23"/>
      <c r="N23" s="23"/>
      <c r="P23" s="198" t="s">
        <v>1107</v>
      </c>
      <c r="Q23" s="191">
        <v>28</v>
      </c>
      <c r="S23" s="200">
        <v>43906</v>
      </c>
      <c r="T23" s="62">
        <v>3</v>
      </c>
      <c r="Y23" s="292"/>
    </row>
    <row r="24" spans="1:25">
      <c r="A24" s="324">
        <v>43768</v>
      </c>
      <c r="B24" s="191">
        <v>1</v>
      </c>
      <c r="D24" s="23"/>
      <c r="J24" s="61" t="s">
        <v>23</v>
      </c>
      <c r="K24" s="62">
        <v>57</v>
      </c>
      <c r="L24" s="23"/>
      <c r="M24" s="23"/>
      <c r="N24" s="23"/>
      <c r="P24" s="198" t="s">
        <v>1108</v>
      </c>
      <c r="Q24" s="191">
        <v>27</v>
      </c>
      <c r="S24" s="200">
        <v>43907</v>
      </c>
      <c r="T24" s="62">
        <v>1</v>
      </c>
      <c r="Y24" s="292"/>
    </row>
    <row r="25" spans="1:25">
      <c r="A25" s="324">
        <v>43798</v>
      </c>
      <c r="B25" s="191">
        <v>2</v>
      </c>
      <c r="D25" s="23"/>
      <c r="J25" s="61" t="s">
        <v>25</v>
      </c>
      <c r="K25" s="62">
        <v>60</v>
      </c>
      <c r="L25" s="23"/>
      <c r="M25" s="23"/>
      <c r="N25" s="23"/>
      <c r="P25" s="198" t="s">
        <v>1109</v>
      </c>
      <c r="Q25" s="191">
        <v>23</v>
      </c>
      <c r="S25" s="200">
        <v>43908</v>
      </c>
      <c r="T25" s="62">
        <v>8</v>
      </c>
      <c r="Y25" s="292"/>
    </row>
    <row r="26" spans="1:25" ht="13.5" thickBot="1">
      <c r="A26" s="325">
        <v>43829</v>
      </c>
      <c r="B26" s="193">
        <v>1</v>
      </c>
      <c r="D26" s="23"/>
      <c r="J26" s="61" t="s">
        <v>14</v>
      </c>
      <c r="K26" s="62">
        <v>71</v>
      </c>
      <c r="L26" s="23"/>
      <c r="M26" s="23"/>
      <c r="N26" s="23"/>
      <c r="P26" s="198" t="s">
        <v>1110</v>
      </c>
      <c r="Q26" s="191">
        <v>30</v>
      </c>
      <c r="S26" s="200">
        <v>43909</v>
      </c>
      <c r="T26" s="62">
        <v>3</v>
      </c>
      <c r="Y26" s="292"/>
    </row>
    <row r="27" spans="1:25">
      <c r="A27" s="23"/>
      <c r="J27" s="61" t="s">
        <v>13</v>
      </c>
      <c r="K27" s="62">
        <v>68</v>
      </c>
      <c r="L27" s="23"/>
      <c r="M27" s="23"/>
      <c r="N27" s="23"/>
      <c r="P27" s="198" t="s">
        <v>1106</v>
      </c>
      <c r="Q27" s="191">
        <v>22</v>
      </c>
      <c r="S27" s="200">
        <v>43910</v>
      </c>
      <c r="T27" s="62">
        <v>5</v>
      </c>
      <c r="Y27" s="292"/>
    </row>
    <row r="28" spans="1:25">
      <c r="A28" s="23"/>
      <c r="E28" s="31">
        <v>365</v>
      </c>
      <c r="J28" s="61" t="s">
        <v>16</v>
      </c>
      <c r="K28" s="62">
        <v>80</v>
      </c>
      <c r="L28" s="23"/>
      <c r="M28" s="23"/>
      <c r="N28" s="23"/>
      <c r="P28" s="198" t="s">
        <v>1107</v>
      </c>
      <c r="Q28" s="191">
        <v>36</v>
      </c>
      <c r="S28" s="200">
        <v>43911</v>
      </c>
      <c r="T28" s="62">
        <v>0</v>
      </c>
      <c r="Y28" s="292"/>
    </row>
    <row r="29" spans="1:25">
      <c r="A29" s="23"/>
      <c r="J29" s="61" t="s">
        <v>18</v>
      </c>
      <c r="K29" s="62">
        <v>97</v>
      </c>
      <c r="L29" s="23"/>
      <c r="M29" s="23"/>
      <c r="N29" s="23"/>
      <c r="P29" s="198" t="s">
        <v>1108</v>
      </c>
      <c r="Q29" s="191">
        <v>28</v>
      </c>
      <c r="S29" s="200">
        <v>43912</v>
      </c>
      <c r="T29" s="62">
        <v>1</v>
      </c>
      <c r="Y29" s="292"/>
    </row>
    <row r="30" spans="1:25">
      <c r="A30" s="23"/>
      <c r="J30" s="61" t="s">
        <v>20</v>
      </c>
      <c r="K30" s="62">
        <v>87</v>
      </c>
      <c r="L30" s="23"/>
      <c r="M30" s="23"/>
      <c r="N30" s="23"/>
      <c r="P30" s="198" t="s">
        <v>1109</v>
      </c>
      <c r="Q30" s="191">
        <v>20</v>
      </c>
      <c r="S30" s="200">
        <v>43913</v>
      </c>
      <c r="T30" s="62">
        <v>3</v>
      </c>
      <c r="Y30" s="292"/>
    </row>
    <row r="31" spans="1:25" ht="13.5" thickBot="1">
      <c r="J31" s="61" t="s">
        <v>22</v>
      </c>
      <c r="K31" s="62">
        <v>86</v>
      </c>
      <c r="L31" s="23"/>
      <c r="M31" s="23"/>
      <c r="N31" s="23"/>
      <c r="P31" s="199" t="s">
        <v>1110</v>
      </c>
      <c r="Q31" s="193">
        <v>33</v>
      </c>
      <c r="S31" s="200">
        <v>43914</v>
      </c>
      <c r="T31" s="62">
        <v>4</v>
      </c>
      <c r="Y31" s="292"/>
    </row>
    <row r="32" spans="1:25">
      <c r="J32" s="61" t="s">
        <v>15</v>
      </c>
      <c r="K32" s="62">
        <v>112</v>
      </c>
      <c r="L32" s="23"/>
      <c r="M32" s="23"/>
      <c r="N32" s="23"/>
      <c r="S32" s="200">
        <v>43915</v>
      </c>
      <c r="T32" s="62">
        <v>9</v>
      </c>
      <c r="Y32" s="292"/>
    </row>
    <row r="33" spans="10:25">
      <c r="J33" s="61" t="s">
        <v>17</v>
      </c>
      <c r="K33" s="62">
        <v>68</v>
      </c>
      <c r="L33" s="23"/>
      <c r="M33" s="23"/>
      <c r="N33" s="23"/>
      <c r="S33" s="200">
        <v>43916</v>
      </c>
      <c r="T33" s="62">
        <v>4</v>
      </c>
      <c r="Y33" s="292"/>
    </row>
    <row r="34" spans="10:25">
      <c r="J34" s="61" t="s">
        <v>19</v>
      </c>
      <c r="K34" s="62">
        <v>76</v>
      </c>
      <c r="L34" s="23"/>
      <c r="M34" s="23"/>
      <c r="N34" s="23"/>
      <c r="S34" s="200">
        <v>43917</v>
      </c>
      <c r="T34" s="62">
        <v>6</v>
      </c>
      <c r="Y34" s="292"/>
    </row>
    <row r="35" spans="10:25">
      <c r="J35" s="61" t="s">
        <v>21</v>
      </c>
      <c r="K35" s="62">
        <v>76</v>
      </c>
      <c r="L35" s="23"/>
      <c r="M35" s="23"/>
      <c r="N35" s="23"/>
      <c r="S35" s="200">
        <v>43918</v>
      </c>
      <c r="T35" s="62">
        <v>0</v>
      </c>
      <c r="Y35" s="292"/>
    </row>
    <row r="36" spans="10:25">
      <c r="J36" s="61" t="s">
        <v>23</v>
      </c>
      <c r="K36" s="62">
        <v>77</v>
      </c>
      <c r="L36" s="23"/>
      <c r="M36" s="23"/>
      <c r="N36" s="23"/>
      <c r="S36" s="200">
        <v>43919</v>
      </c>
      <c r="T36" s="62">
        <v>3</v>
      </c>
      <c r="Y36" s="292"/>
    </row>
    <row r="37" spans="10:25" ht="13.5" thickBot="1">
      <c r="J37" s="63" t="s">
        <v>25</v>
      </c>
      <c r="K37" s="64">
        <v>71</v>
      </c>
      <c r="L37" s="23"/>
      <c r="M37" s="23"/>
      <c r="N37" s="23"/>
      <c r="S37" s="200">
        <v>43920</v>
      </c>
      <c r="T37" s="62">
        <v>1</v>
      </c>
      <c r="Y37" s="292"/>
    </row>
    <row r="38" spans="10:25">
      <c r="S38" s="200">
        <v>43921</v>
      </c>
      <c r="T38" s="62">
        <v>4</v>
      </c>
      <c r="Y38" s="292"/>
    </row>
    <row r="39" spans="10:25">
      <c r="S39" s="200">
        <v>43922</v>
      </c>
      <c r="T39" s="62">
        <v>10</v>
      </c>
      <c r="Y39" s="292"/>
    </row>
    <row r="40" spans="10:25">
      <c r="S40" s="200">
        <v>43923</v>
      </c>
      <c r="T40" s="62">
        <v>3</v>
      </c>
      <c r="Y40" s="292"/>
    </row>
    <row r="41" spans="10:25">
      <c r="S41" s="200">
        <v>43924</v>
      </c>
      <c r="T41" s="62">
        <v>2</v>
      </c>
      <c r="Y41" s="292"/>
    </row>
    <row r="42" spans="10:25">
      <c r="S42" s="200">
        <v>43925</v>
      </c>
      <c r="T42" s="62">
        <v>3</v>
      </c>
      <c r="Y42" s="292"/>
    </row>
    <row r="43" spans="10:25">
      <c r="S43" s="200">
        <v>43926</v>
      </c>
      <c r="T43" s="62">
        <v>0</v>
      </c>
      <c r="Y43" s="292"/>
    </row>
    <row r="44" spans="10:25">
      <c r="S44" s="200">
        <v>43927</v>
      </c>
      <c r="T44" s="62">
        <v>3</v>
      </c>
      <c r="Y44" s="292"/>
    </row>
    <row r="45" spans="10:25">
      <c r="S45" s="200">
        <v>43928</v>
      </c>
      <c r="T45" s="62">
        <v>4</v>
      </c>
      <c r="Y45" s="292"/>
    </row>
    <row r="46" spans="10:25">
      <c r="S46" s="200">
        <v>43929</v>
      </c>
      <c r="T46" s="62">
        <v>6</v>
      </c>
      <c r="Y46" s="292"/>
    </row>
    <row r="47" spans="10:25">
      <c r="S47" s="200">
        <v>43930</v>
      </c>
      <c r="T47" s="62">
        <v>2</v>
      </c>
      <c r="Y47" s="292"/>
    </row>
    <row r="48" spans="10:25">
      <c r="S48" s="200">
        <v>43931</v>
      </c>
      <c r="T48" s="62">
        <v>0</v>
      </c>
      <c r="Y48" s="292"/>
    </row>
    <row r="49" spans="19:25">
      <c r="S49" s="200">
        <v>43932</v>
      </c>
      <c r="T49" s="62">
        <v>0</v>
      </c>
      <c r="Y49" s="292"/>
    </row>
    <row r="50" spans="19:25">
      <c r="S50" s="200">
        <v>43933</v>
      </c>
      <c r="T50" s="62">
        <v>2</v>
      </c>
      <c r="Y50" s="292"/>
    </row>
    <row r="51" spans="19:25">
      <c r="S51" s="200">
        <v>43934</v>
      </c>
      <c r="T51" s="62">
        <v>3</v>
      </c>
      <c r="Y51" s="292"/>
    </row>
    <row r="52" spans="19:25">
      <c r="S52" s="200">
        <v>43935</v>
      </c>
      <c r="T52" s="62">
        <v>3</v>
      </c>
      <c r="Y52" s="292"/>
    </row>
    <row r="53" spans="19:25">
      <c r="S53" s="200">
        <v>43936</v>
      </c>
      <c r="T53" s="62">
        <v>2</v>
      </c>
      <c r="Y53" s="292"/>
    </row>
    <row r="54" spans="19:25">
      <c r="S54" s="200">
        <v>43937</v>
      </c>
      <c r="T54" s="62">
        <v>1</v>
      </c>
      <c r="Y54" s="292"/>
    </row>
    <row r="55" spans="19:25">
      <c r="S55" s="200">
        <v>43938</v>
      </c>
      <c r="T55" s="62">
        <v>1</v>
      </c>
      <c r="Y55" s="292"/>
    </row>
    <row r="56" spans="19:25">
      <c r="S56" s="200">
        <v>43939</v>
      </c>
      <c r="T56" s="62">
        <v>5</v>
      </c>
      <c r="Y56" s="292"/>
    </row>
    <row r="57" spans="19:25">
      <c r="S57" s="200">
        <v>43940</v>
      </c>
      <c r="T57" s="62">
        <v>2</v>
      </c>
      <c r="Y57" s="292"/>
    </row>
    <row r="58" spans="19:25">
      <c r="S58" s="200">
        <v>43941</v>
      </c>
      <c r="T58" s="62">
        <v>12</v>
      </c>
      <c r="Y58" s="292"/>
    </row>
    <row r="59" spans="19:25">
      <c r="S59" s="200">
        <v>43942</v>
      </c>
      <c r="T59" s="62">
        <v>4</v>
      </c>
      <c r="Y59" s="292"/>
    </row>
    <row r="60" spans="19:25">
      <c r="S60" s="200">
        <v>43943</v>
      </c>
      <c r="T60" s="62">
        <v>3</v>
      </c>
      <c r="Y60" s="292"/>
    </row>
    <row r="61" spans="19:25">
      <c r="S61" s="200">
        <v>43944</v>
      </c>
      <c r="T61" s="62">
        <v>5</v>
      </c>
      <c r="Y61" s="292"/>
    </row>
    <row r="62" spans="19:25">
      <c r="S62" s="200">
        <v>43945</v>
      </c>
      <c r="T62" s="62">
        <v>6</v>
      </c>
      <c r="Y62" s="292"/>
    </row>
    <row r="63" spans="19:25">
      <c r="S63" s="200">
        <v>43946</v>
      </c>
      <c r="T63" s="62">
        <v>3</v>
      </c>
      <c r="Y63" s="292"/>
    </row>
    <row r="64" spans="19:25">
      <c r="S64" s="200">
        <v>43947</v>
      </c>
      <c r="T64" s="62">
        <v>8</v>
      </c>
      <c r="Y64" s="292"/>
    </row>
    <row r="65" spans="19:25" ht="13.5" thickBot="1">
      <c r="S65" s="200">
        <v>43948</v>
      </c>
      <c r="T65" s="62">
        <v>1</v>
      </c>
      <c r="Y65" s="292"/>
    </row>
    <row r="66" spans="19:25" ht="13.5" thickBot="1">
      <c r="S66" s="200">
        <v>45411</v>
      </c>
      <c r="T66" s="191">
        <v>7</v>
      </c>
      <c r="U66" s="202" t="s">
        <v>1133</v>
      </c>
      <c r="Y66" s="292"/>
    </row>
    <row r="67" spans="19:25">
      <c r="S67" s="200">
        <v>45412</v>
      </c>
      <c r="T67" s="191">
        <v>5</v>
      </c>
      <c r="Y67" s="292"/>
    </row>
    <row r="68" spans="19:25">
      <c r="S68" s="200">
        <v>45413</v>
      </c>
      <c r="T68" s="191">
        <v>4</v>
      </c>
      <c r="Y68" s="292"/>
    </row>
    <row r="69" spans="19:25">
      <c r="S69" s="200">
        <v>45414</v>
      </c>
      <c r="T69" s="191">
        <v>3</v>
      </c>
      <c r="Y69" s="292"/>
    </row>
    <row r="70" spans="19:25">
      <c r="S70" s="200">
        <v>45415</v>
      </c>
      <c r="T70" s="191">
        <v>6</v>
      </c>
      <c r="Y70" s="292"/>
    </row>
    <row r="71" spans="19:25">
      <c r="S71" s="200">
        <v>45416</v>
      </c>
      <c r="T71" s="191">
        <v>10</v>
      </c>
      <c r="Y71" s="292"/>
    </row>
    <row r="72" spans="19:25">
      <c r="S72" s="200">
        <v>45417</v>
      </c>
      <c r="T72" s="191">
        <v>7</v>
      </c>
      <c r="Y72" s="292"/>
    </row>
    <row r="73" spans="19:25">
      <c r="S73" s="200">
        <v>45418</v>
      </c>
      <c r="T73" s="191">
        <v>1</v>
      </c>
      <c r="Y73" s="292"/>
    </row>
    <row r="74" spans="19:25">
      <c r="S74" s="200">
        <v>45419</v>
      </c>
      <c r="T74" s="191">
        <v>1</v>
      </c>
      <c r="Y74" s="292"/>
    </row>
    <row r="75" spans="19:25">
      <c r="S75" s="200">
        <v>45420</v>
      </c>
      <c r="T75" s="191">
        <v>1</v>
      </c>
      <c r="Y75" s="292"/>
    </row>
    <row r="76" spans="19:25">
      <c r="S76" s="200">
        <v>45421</v>
      </c>
      <c r="T76" s="191">
        <v>5</v>
      </c>
      <c r="Y76" s="292"/>
    </row>
    <row r="77" spans="19:25">
      <c r="S77" s="200">
        <v>45422</v>
      </c>
      <c r="T77" s="191">
        <v>4</v>
      </c>
      <c r="Y77" s="292"/>
    </row>
    <row r="78" spans="19:25">
      <c r="S78" s="200">
        <v>45423</v>
      </c>
      <c r="T78" s="191">
        <v>5</v>
      </c>
      <c r="Y78" s="292"/>
    </row>
    <row r="79" spans="19:25">
      <c r="S79" s="200">
        <v>45424</v>
      </c>
      <c r="T79" s="191">
        <v>5</v>
      </c>
      <c r="Y79" s="292"/>
    </row>
    <row r="80" spans="19:25">
      <c r="S80" s="200">
        <v>45425</v>
      </c>
      <c r="T80" s="191">
        <v>7</v>
      </c>
      <c r="Y80" s="292"/>
    </row>
    <row r="81" spans="19:25">
      <c r="S81" s="200">
        <v>45426</v>
      </c>
      <c r="T81" s="191">
        <v>5</v>
      </c>
      <c r="Y81" s="292"/>
    </row>
    <row r="82" spans="19:25">
      <c r="S82" s="200">
        <v>45427</v>
      </c>
      <c r="T82" s="191">
        <v>2</v>
      </c>
      <c r="Y82" s="292"/>
    </row>
    <row r="83" spans="19:25">
      <c r="S83" s="200">
        <v>45428</v>
      </c>
      <c r="T83" s="191">
        <v>0</v>
      </c>
      <c r="Y83" s="292"/>
    </row>
    <row r="84" spans="19:25">
      <c r="S84" s="200">
        <v>45429</v>
      </c>
      <c r="T84" s="191">
        <v>0</v>
      </c>
      <c r="Y84" s="292"/>
    </row>
    <row r="85" spans="19:25">
      <c r="S85" s="200">
        <v>45430</v>
      </c>
      <c r="T85" s="191">
        <v>3</v>
      </c>
      <c r="Y85" s="292"/>
    </row>
    <row r="86" spans="19:25">
      <c r="S86" s="200">
        <v>45431</v>
      </c>
      <c r="T86" s="191">
        <v>8</v>
      </c>
      <c r="Y86" s="292"/>
    </row>
    <row r="87" spans="19:25">
      <c r="S87" s="200">
        <v>45432</v>
      </c>
      <c r="T87" s="191">
        <v>4</v>
      </c>
      <c r="Y87" s="292"/>
    </row>
    <row r="88" spans="19:25">
      <c r="S88" s="200">
        <v>45433</v>
      </c>
      <c r="T88" s="191">
        <v>12</v>
      </c>
      <c r="Y88" s="292"/>
    </row>
    <row r="89" spans="19:25">
      <c r="S89" s="200">
        <v>45434</v>
      </c>
      <c r="T89" s="191">
        <v>1</v>
      </c>
      <c r="Y89" s="292"/>
    </row>
    <row r="90" spans="19:25">
      <c r="S90" s="200">
        <v>45435</v>
      </c>
      <c r="T90" s="191">
        <v>14</v>
      </c>
      <c r="Y90" s="292"/>
    </row>
    <row r="91" spans="19:25">
      <c r="S91" s="200">
        <v>45436</v>
      </c>
      <c r="T91" s="191">
        <v>4</v>
      </c>
      <c r="Y91" s="292"/>
    </row>
    <row r="92" spans="19:25">
      <c r="S92" s="200">
        <v>45437</v>
      </c>
      <c r="T92" s="191">
        <v>1</v>
      </c>
      <c r="Y92" s="292"/>
    </row>
    <row r="93" spans="19:25">
      <c r="S93" s="200">
        <v>45438</v>
      </c>
      <c r="T93" s="191">
        <v>3</v>
      </c>
      <c r="Y93" s="292"/>
    </row>
    <row r="94" spans="19:25">
      <c r="S94" s="200">
        <v>45439</v>
      </c>
      <c r="T94" s="191">
        <v>10</v>
      </c>
      <c r="Y94" s="292"/>
    </row>
    <row r="95" spans="19:25">
      <c r="S95" s="200">
        <v>45440</v>
      </c>
      <c r="T95" s="191">
        <v>5</v>
      </c>
      <c r="Y95" s="292"/>
    </row>
    <row r="96" spans="19:25" ht="13.5" thickBot="1">
      <c r="S96" s="201">
        <v>45441</v>
      </c>
      <c r="T96" s="193">
        <v>2</v>
      </c>
      <c r="Y96" s="292"/>
    </row>
  </sheetData>
  <phoneticPr fontId="30" type="noConversion"/>
  <printOptions gridLinesSet="0"/>
  <pageMargins left="0.75" right="0.75" top="1" bottom="1" header="0.5" footer="0.5"/>
  <pageSetup orientation="portrait" horizontalDpi="0" verticalDpi="0" copies="0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XmR Data</vt:lpstr>
      <vt:lpstr>Pareto Data</vt:lpstr>
      <vt:lpstr>Medication Errors</vt:lpstr>
      <vt:lpstr>Surgical Pareto</vt:lpstr>
      <vt:lpstr>General Pareto</vt:lpstr>
      <vt:lpstr>Obstetrics Pareto</vt:lpstr>
      <vt:lpstr>Falls 2008-2019</vt:lpstr>
      <vt:lpstr>ANOM</vt:lpstr>
      <vt:lpstr>c Data</vt:lpstr>
      <vt:lpstr>p Data</vt:lpstr>
      <vt:lpstr>u Data</vt:lpstr>
      <vt:lpstr>g Data</vt:lpstr>
      <vt:lpstr>t Data</vt:lpstr>
      <vt:lpstr>Histogram</vt:lpstr>
      <vt:lpstr>Lab Requisitions (hour)</vt:lpstr>
      <vt:lpstr>Oryx Data</vt:lpstr>
      <vt:lpstr>XbarS Data</vt:lpstr>
      <vt:lpstr>XbarR Data</vt:lpstr>
      <vt:lpstr>_000_Total_Deaths_by_Month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Healthcare SPC Sample Data XmR Data Falls 1000 Patient</dc:title>
  <dc:creator>Jay Arthur and QI Macros</dc:creator>
  <dc:description>Charts created with QI Macros for Excel_x000d_
www.qimacros.com</dc:description>
  <cp:lastModifiedBy>Nicholas Schmidt</cp:lastModifiedBy>
  <dcterms:created xsi:type="dcterms:W3CDTF">2006-05-13T12:20:39Z</dcterms:created>
  <dcterms:modified xsi:type="dcterms:W3CDTF">2023-10-16T17:26:53Z</dcterms:modified>
</cp:coreProperties>
</file>